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Chief Deputy Treas\SETTLEMENTS\2022\"/>
    </mc:Choice>
  </mc:AlternateContent>
  <xr:revisionPtr revIDLastSave="0" documentId="13_ncr:1_{0B82733D-F5B3-4923-968F-6BEFE1944E8F}" xr6:coauthVersionLast="47" xr6:coauthVersionMax="47" xr10:uidLastSave="{00000000-0000-0000-0000-000000000000}"/>
  <bookViews>
    <workbookView xWindow="21480" yWindow="-120" windowWidth="21840" windowHeight="13140" tabRatio="847" activeTab="1" xr2:uid="{00000000-000D-0000-FFFF-FFFF00000000}"/>
  </bookViews>
  <sheets>
    <sheet name="Paris Worksheet Jan Paid 2023" sheetId="1" r:id="rId1"/>
    <sheet name="Paris Feb Paid 2023" sheetId="8" r:id="rId2"/>
    <sheet name="LC Worksheet 2023" sheetId="6" r:id="rId3"/>
    <sheet name="Aug Worksheet 2023" sheetId="10" r:id="rId4"/>
    <sheet name="Aug Worksheet 2019 Example" sheetId="7" state="hidden" r:id="rId5"/>
  </sheets>
  <definedNames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8" l="1"/>
  <c r="D35" i="8"/>
  <c r="D34" i="8"/>
  <c r="D28" i="8"/>
  <c r="D41" i="8"/>
  <c r="C17" i="8"/>
  <c r="C14" i="8"/>
  <c r="C13" i="8"/>
  <c r="C13" i="1"/>
  <c r="A11" i="8"/>
  <c r="C28" i="1" l="1"/>
  <c r="C37" i="1"/>
  <c r="C3" i="6"/>
  <c r="C4" i="6"/>
  <c r="B27" i="8"/>
  <c r="B28" i="10" s="1"/>
  <c r="B26" i="8"/>
  <c r="B27" i="10" s="1"/>
  <c r="B29" i="10" s="1"/>
  <c r="A10" i="8"/>
  <c r="C6" i="8"/>
  <c r="B27" i="1"/>
  <c r="B26" i="1"/>
  <c r="A10" i="1"/>
  <c r="F29" i="10"/>
  <c r="F43" i="10"/>
  <c r="F45" i="10" s="1"/>
  <c r="D44" i="10"/>
  <c r="C44" i="10"/>
  <c r="D43" i="10"/>
  <c r="C43" i="10"/>
  <c r="D42" i="10"/>
  <c r="B39" i="10"/>
  <c r="F38" i="10"/>
  <c r="E38" i="10"/>
  <c r="E40" i="10" s="1"/>
  <c r="B37" i="10"/>
  <c r="B36" i="10"/>
  <c r="B35" i="10"/>
  <c r="B34" i="10"/>
  <c r="G26" i="10"/>
  <c r="D7" i="10"/>
  <c r="B32" i="10" s="1"/>
  <c r="C7" i="10"/>
  <c r="B31" i="10" s="1"/>
  <c r="C4" i="10"/>
  <c r="C3" i="10"/>
  <c r="C5" i="10" s="1"/>
  <c r="D45" i="10" l="1"/>
  <c r="D18" i="10"/>
  <c r="F40" i="10"/>
  <c r="D13" i="10"/>
  <c r="C6" i="10"/>
  <c r="B38" i="10"/>
  <c r="C9" i="10"/>
  <c r="D44" i="6"/>
  <c r="D43" i="6"/>
  <c r="D42" i="6"/>
  <c r="B39" i="6"/>
  <c r="B37" i="6"/>
  <c r="B36" i="6"/>
  <c r="B35" i="6"/>
  <c r="B34" i="6"/>
  <c r="B28" i="6"/>
  <c r="B27" i="6"/>
  <c r="C44" i="6"/>
  <c r="C43" i="6"/>
  <c r="D7" i="6"/>
  <c r="B32" i="6" s="1"/>
  <c r="C7" i="6"/>
  <c r="D4" i="10" l="1"/>
  <c r="B30" i="10"/>
  <c r="B33" i="10" l="1"/>
  <c r="B40" i="10"/>
  <c r="F46" i="10" s="1"/>
  <c r="D44" i="8"/>
  <c r="A11" i="10" l="1"/>
  <c r="C11" i="10" s="1"/>
  <c r="A11" i="6"/>
  <c r="C11" i="6" s="1"/>
  <c r="C14" i="6" s="1"/>
  <c r="D46" i="10"/>
  <c r="C11" i="8"/>
  <c r="D5" i="8" l="1"/>
  <c r="A10" i="10" l="1"/>
  <c r="C10" i="10" s="1"/>
  <c r="C13" i="10" s="1"/>
  <c r="A10" i="6"/>
  <c r="C42" i="10"/>
  <c r="C45" i="10" s="1"/>
  <c r="C46" i="10" s="1"/>
  <c r="C42" i="6"/>
  <c r="D5" i="10"/>
  <c r="D6" i="10" s="1"/>
  <c r="D8" i="10" s="1"/>
  <c r="D5" i="6"/>
  <c r="D9" i="10" l="1"/>
  <c r="D16" i="10"/>
  <c r="C39" i="10"/>
  <c r="D39" i="10" s="1"/>
  <c r="G39" i="10" s="1"/>
  <c r="C37" i="10"/>
  <c r="D37" i="10" s="1"/>
  <c r="G37" i="10" s="1"/>
  <c r="C36" i="10"/>
  <c r="D36" i="10" s="1"/>
  <c r="G36" i="10" s="1"/>
  <c r="C29" i="10"/>
  <c r="C34" i="10"/>
  <c r="C35" i="10"/>
  <c r="D14" i="10"/>
  <c r="D15" i="10" s="1"/>
  <c r="C38" i="10" l="1"/>
  <c r="C40" i="10" s="1"/>
  <c r="D34" i="10"/>
  <c r="D29" i="10"/>
  <c r="G29" i="10" s="1"/>
  <c r="D35" i="10"/>
  <c r="G35" i="10" s="1"/>
  <c r="D18" i="6"/>
  <c r="D38" i="10" l="1"/>
  <c r="G34" i="10"/>
  <c r="B31" i="6"/>
  <c r="G38" i="10" l="1"/>
  <c r="D18" i="1"/>
  <c r="C44" i="8"/>
  <c r="F37" i="8"/>
  <c r="F39" i="8" s="1"/>
  <c r="E37" i="8"/>
  <c r="E39" i="8" s="1"/>
  <c r="B37" i="8"/>
  <c r="B30" i="8"/>
  <c r="B28" i="8"/>
  <c r="G25" i="8"/>
  <c r="C10" i="8"/>
  <c r="C5" i="8"/>
  <c r="D14" i="8" l="1"/>
  <c r="C9" i="8"/>
  <c r="D13" i="8"/>
  <c r="B30" i="1"/>
  <c r="C14" i="10" l="1"/>
  <c r="D15" i="8"/>
  <c r="D4" i="8"/>
  <c r="D6" i="8" s="1"/>
  <c r="D8" i="8" s="1"/>
  <c r="B29" i="8"/>
  <c r="F44" i="7"/>
  <c r="F28" i="7"/>
  <c r="D10" i="8" l="1"/>
  <c r="D17" i="8" s="1"/>
  <c r="D10" i="10"/>
  <c r="C17" i="10"/>
  <c r="B32" i="8"/>
  <c r="D9" i="8"/>
  <c r="D16" i="8"/>
  <c r="B39" i="8"/>
  <c r="D44" i="7"/>
  <c r="C41" i="7"/>
  <c r="C44" i="7" s="1"/>
  <c r="F37" i="7"/>
  <c r="F39" i="7" s="1"/>
  <c r="E37" i="7"/>
  <c r="E39" i="7" s="1"/>
  <c r="B37" i="7"/>
  <c r="B32" i="7"/>
  <c r="G32" i="7" s="1"/>
  <c r="B28" i="7"/>
  <c r="B39" i="7" s="1"/>
  <c r="F45" i="7" s="1"/>
  <c r="G25" i="7"/>
  <c r="D18" i="7"/>
  <c r="A10" i="7"/>
  <c r="C10" i="7" s="1"/>
  <c r="C5" i="7"/>
  <c r="D13" i="7" s="1"/>
  <c r="D19" i="8" l="1"/>
  <c r="D17" i="10"/>
  <c r="D20" i="10" s="1"/>
  <c r="D11" i="10"/>
  <c r="D11" i="8"/>
  <c r="D32" i="8"/>
  <c r="G32" i="8" s="1"/>
  <c r="D45" i="8"/>
  <c r="C45" i="8"/>
  <c r="C6" i="7"/>
  <c r="D4" i="7" s="1"/>
  <c r="D6" i="7" s="1"/>
  <c r="D8" i="7" s="1"/>
  <c r="D16" i="7" s="1"/>
  <c r="C45" i="7"/>
  <c r="C34" i="7"/>
  <c r="C38" i="7"/>
  <c r="C33" i="7"/>
  <c r="C35" i="7"/>
  <c r="C36" i="7"/>
  <c r="D45" i="7"/>
  <c r="C28" i="7"/>
  <c r="D28" i="7"/>
  <c r="D9" i="7" l="1"/>
  <c r="D33" i="10"/>
  <c r="D33" i="6"/>
  <c r="C13" i="7"/>
  <c r="D14" i="7" s="1"/>
  <c r="D15" i="7" s="1"/>
  <c r="C9" i="7"/>
  <c r="C34" i="8"/>
  <c r="C38" i="8"/>
  <c r="C35" i="8"/>
  <c r="C33" i="8"/>
  <c r="D33" i="8" s="1"/>
  <c r="C36" i="8"/>
  <c r="C28" i="8"/>
  <c r="G28" i="7"/>
  <c r="C14" i="7"/>
  <c r="D10" i="7" s="1"/>
  <c r="D17" i="7" s="1"/>
  <c r="D19" i="7" s="1"/>
  <c r="C37" i="7"/>
  <c r="D34" i="7"/>
  <c r="G34" i="7" s="1"/>
  <c r="D38" i="7"/>
  <c r="G38" i="7" s="1"/>
  <c r="D36" i="7"/>
  <c r="G36" i="7" s="1"/>
  <c r="D33" i="7"/>
  <c r="D35" i="7"/>
  <c r="G35" i="7" s="1"/>
  <c r="D45" i="6"/>
  <c r="C45" i="6"/>
  <c r="F38" i="6"/>
  <c r="F40" i="6" s="1"/>
  <c r="E38" i="6"/>
  <c r="B38" i="6"/>
  <c r="B29" i="6"/>
  <c r="G26" i="6"/>
  <c r="C10" i="6"/>
  <c r="C5" i="6"/>
  <c r="G28" i="8" l="1"/>
  <c r="C17" i="7"/>
  <c r="G33" i="10"/>
  <c r="D40" i="10"/>
  <c r="G40" i="10" s="1"/>
  <c r="E40" i="6"/>
  <c r="G36" i="8"/>
  <c r="D38" i="8"/>
  <c r="G38" i="8" s="1"/>
  <c r="G35" i="8"/>
  <c r="C37" i="8"/>
  <c r="G33" i="8"/>
  <c r="D11" i="7"/>
  <c r="D37" i="7"/>
  <c r="D39" i="7" s="1"/>
  <c r="C39" i="7"/>
  <c r="G39" i="7" s="1"/>
  <c r="G33" i="7"/>
  <c r="C6" i="6"/>
  <c r="D13" i="6"/>
  <c r="D4" i="6" l="1"/>
  <c r="D6" i="6" s="1"/>
  <c r="D8" i="6" s="1"/>
  <c r="D9" i="6" s="1"/>
  <c r="B30" i="6"/>
  <c r="D37" i="8"/>
  <c r="D39" i="8" s="1"/>
  <c r="G34" i="8"/>
  <c r="C9" i="6"/>
  <c r="C13" i="6"/>
  <c r="D14" i="6" s="1"/>
  <c r="D15" i="6" s="1"/>
  <c r="C39" i="8"/>
  <c r="G37" i="7"/>
  <c r="D16" i="6" l="1"/>
  <c r="B33" i="6"/>
  <c r="G33" i="6" s="1"/>
  <c r="B40" i="6"/>
  <c r="D46" i="6" s="1"/>
  <c r="G37" i="8"/>
  <c r="G39" i="8"/>
  <c r="D10" i="6"/>
  <c r="D17" i="6" s="1"/>
  <c r="D35" i="6" l="1"/>
  <c r="D29" i="6"/>
  <c r="D20" i="6"/>
  <c r="C17" i="6"/>
  <c r="C46" i="6"/>
  <c r="D11" i="6"/>
  <c r="C37" i="6" l="1"/>
  <c r="D37" i="6" s="1"/>
  <c r="C29" i="6"/>
  <c r="C39" i="6"/>
  <c r="D39" i="6" s="1"/>
  <c r="G39" i="6" s="1"/>
  <c r="C35" i="6"/>
  <c r="C36" i="6"/>
  <c r="D36" i="6" s="1"/>
  <c r="C34" i="6"/>
  <c r="C43" i="1"/>
  <c r="C10" i="1"/>
  <c r="F37" i="1"/>
  <c r="F39" i="1" s="1"/>
  <c r="E37" i="1"/>
  <c r="E39" i="1" s="1"/>
  <c r="B37" i="1"/>
  <c r="B28" i="1"/>
  <c r="G25" i="1"/>
  <c r="C5" i="1"/>
  <c r="C6" i="1" s="1"/>
  <c r="C38" i="6" l="1"/>
  <c r="C40" i="6" s="1"/>
  <c r="D34" i="6"/>
  <c r="G34" i="6" s="1"/>
  <c r="G35" i="6"/>
  <c r="G29" i="6"/>
  <c r="G36" i="6"/>
  <c r="B29" i="1"/>
  <c r="B39" i="1" s="1"/>
  <c r="C44" i="1" s="1"/>
  <c r="D13" i="1"/>
  <c r="D38" i="6" l="1"/>
  <c r="D40" i="6" s="1"/>
  <c r="G37" i="6"/>
  <c r="C9" i="1"/>
  <c r="D4" i="1"/>
  <c r="D6" i="1" s="1"/>
  <c r="D8" i="1" s="1"/>
  <c r="D9" i="1" s="1"/>
  <c r="G28" i="1"/>
  <c r="B32" i="1"/>
  <c r="G32" i="1" s="1"/>
  <c r="D14" i="1"/>
  <c r="D15" i="1" s="1"/>
  <c r="C35" i="1"/>
  <c r="G35" i="1" s="1"/>
  <c r="C34" i="1"/>
  <c r="G34" i="1" s="1"/>
  <c r="C38" i="1"/>
  <c r="G38" i="1" s="1"/>
  <c r="C36" i="1"/>
  <c r="G36" i="1" s="1"/>
  <c r="C33" i="1"/>
  <c r="G33" i="1" s="1"/>
  <c r="D37" i="1"/>
  <c r="G38" i="6" l="1"/>
  <c r="G40" i="6"/>
  <c r="D16" i="1"/>
  <c r="C39" i="1"/>
  <c r="D10" i="1"/>
  <c r="C17" i="1"/>
  <c r="D39" i="1"/>
  <c r="G37" i="1" l="1"/>
  <c r="G39" i="1"/>
  <c r="D17" i="1"/>
  <c r="D19" i="1" s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Nanette Shumway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The value of C6 is compared to the over/under run total on the SOT section F Line 6.  Calculate the difference between the two and enter it in </t>
        </r>
        <r>
          <rPr>
            <b/>
            <sz val="9"/>
            <color indexed="81"/>
            <rFont val="Tahoma"/>
            <family val="2"/>
          </rPr>
          <t>so the total of C6 and C7 equals the SOT amount on line 6 of section F</t>
        </r>
        <r>
          <rPr>
            <sz val="9"/>
            <color indexed="81"/>
            <rFont val="Tahoma"/>
            <family val="2"/>
          </rPr>
          <t>.  Sometimes it will be a positive amount and sometimes it will be a negative amount.</t>
        </r>
      </text>
    </comment>
    <comment ref="A10" authorId="0" shapeId="0" xr:uid="{0FD4B345-54E1-4BB8-9D72-5C0FB923AB36}">
      <text>
        <r>
          <rPr>
            <sz val="9"/>
            <color indexed="81"/>
            <rFont val="Tahoma"/>
            <family val="2"/>
          </rPr>
          <t>Amt of RE &amp; PP tax less MFL and Specials collected in Dec / Total Levy</t>
        </r>
      </text>
    </comment>
    <comment ref="A11" authorId="0" shapeId="0" xr:uid="{DE32D2C3-DE66-4649-B29B-36B957C965FB}">
      <text>
        <r>
          <rPr>
            <b/>
            <sz val="9"/>
            <color indexed="81"/>
            <rFont val="Tahoma"/>
            <family val="2"/>
          </rPr>
          <t>Amt of RE &amp; PP tax less MFL and Specials collected in Jan / Total Levy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Nanette Shumway</author>
  </authors>
  <commentList>
    <comment ref="C7" authorId="0" shapeId="0" xr:uid="{55B844AD-9B29-4957-857B-190F62BCA026}">
      <text>
        <r>
          <rPr>
            <b/>
            <sz val="9"/>
            <color indexed="81"/>
            <rFont val="Tahoma"/>
            <family val="2"/>
          </rPr>
          <t>the number in the formula is from the Over/Underrun of the SOT</t>
        </r>
      </text>
    </comment>
    <comment ref="D7" authorId="0" shapeId="0" xr:uid="{497B0912-B9CA-401C-A961-C4DC22F04729}">
      <text>
        <r>
          <rPr>
            <sz val="9"/>
            <color indexed="81"/>
            <rFont val="Tahoma"/>
            <family val="2"/>
          </rPr>
          <t>If the amount the State pays is less than the amount on the SOT enter as a negative, if the amount paid is greater than the amount on the SOT enter as a positive. E.g. State paid $359,419.03, SOT = $359,419.06.  Payment is $.03 less than billed out.  Thus the amount to enter here is ($.03).</t>
        </r>
      </text>
    </comment>
    <comment ref="A10" authorId="0" shapeId="0" xr:uid="{031F442C-C577-459C-95DD-1FD8A8DBE0E7}">
      <text>
        <r>
          <rPr>
            <sz val="9"/>
            <color indexed="81"/>
            <rFont val="Tahoma"/>
            <family val="2"/>
          </rPr>
          <t>Amt of RE &amp; PP tax less MFL and Specials collected in Dec / Total Levy</t>
        </r>
      </text>
    </comment>
    <comment ref="A11" authorId="0" shapeId="0" xr:uid="{F12B7237-FC89-4EC6-92BB-580A6B751CA5}">
      <text>
        <r>
          <rPr>
            <b/>
            <sz val="9"/>
            <color indexed="81"/>
            <rFont val="Tahoma"/>
            <family val="2"/>
          </rPr>
          <t>Amt of RE &amp; PP tax collected to date less MFL and Specials collected to date Plus Unpaid PP / Total Levy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0" shapeId="0" xr:uid="{9FC3039F-B831-4351-BEC9-F9BFFBC0461F}">
      <text>
        <r>
          <rPr>
            <sz val="9"/>
            <color indexed="81"/>
            <rFont val="Tahoma"/>
            <family val="2"/>
          </rPr>
          <t>Balance due should not include the SLTC Over/Underrun.
So formula should subtact it from this calculation.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Nanette Shumway</author>
  </authors>
  <commentList>
    <comment ref="C7" authorId="0" shapeId="0" xr:uid="{E76F36F0-28A3-426F-95D5-0228EE850204}">
      <text>
        <r>
          <rPr>
            <b/>
            <sz val="9"/>
            <color indexed="81"/>
            <rFont val="Tahoma"/>
            <family val="2"/>
          </rPr>
          <t>the number in the formula is from the Over/Underrun of the SOT</t>
        </r>
      </text>
    </comment>
    <comment ref="A10" authorId="0" shapeId="0" xr:uid="{19E3D2D5-55B7-48B3-9E17-8002ACF1E5EA}">
      <text>
        <r>
          <rPr>
            <b/>
            <sz val="9"/>
            <color indexed="81"/>
            <rFont val="Tahoma"/>
            <family val="2"/>
          </rPr>
          <t>Amt of RE &amp; PP tax less MFL and Specials collected in Dec / Total Levy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3FE45708-218F-4C56-A3A6-660D58EAA0A9}">
      <text>
        <r>
          <rPr>
            <b/>
            <sz val="9"/>
            <color indexed="81"/>
            <rFont val="Tahoma"/>
            <family val="2"/>
          </rPr>
          <t>Amt of RE &amp; PP tax less MFL and Specials collected in Jan / Total Levy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 xr:uid="{E5376325-351B-469C-B20E-7F8D9F522FFD}">
      <text>
        <r>
          <rPr>
            <sz val="9"/>
            <color indexed="81"/>
            <rFont val="Tahoma"/>
            <family val="2"/>
          </rPr>
          <t>Balance due should not include the SLTC Over/Underrun.
So formula should subtact it from this calculation.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Nanette Shumway</author>
  </authors>
  <commentList>
    <comment ref="C7" authorId="0" shapeId="0" xr:uid="{8A469415-2AE1-46D7-9E49-6C2F4A7FA36F}">
      <text>
        <r>
          <rPr>
            <b/>
            <sz val="9"/>
            <color indexed="81"/>
            <rFont val="Tahoma"/>
            <family val="2"/>
          </rPr>
          <t>the number in the formula is from the Over/Underrun of the SOT</t>
        </r>
      </text>
    </comment>
    <comment ref="A10" authorId="0" shapeId="0" xr:uid="{A3D17CCC-1A05-4943-9D8A-9D79449AC046}">
      <text>
        <r>
          <rPr>
            <b/>
            <sz val="9"/>
            <color indexed="81"/>
            <rFont val="Tahoma"/>
            <family val="2"/>
          </rPr>
          <t>Amt of RE &amp; PP tax less MFL and Specials collected in Dec / Total Levy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7A86FA3-1904-4CEB-9AC3-7E9122DEC58C}">
      <text>
        <r>
          <rPr>
            <b/>
            <sz val="9"/>
            <color indexed="81"/>
            <rFont val="Tahoma"/>
            <family val="2"/>
          </rPr>
          <t>Amt of RE &amp; PP tax less MFL and Specials collected in Jan / Total Levy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 xr:uid="{2D041458-3DE5-4F81-B3EA-EE827F26D7FA}">
      <text>
        <r>
          <rPr>
            <sz val="9"/>
            <color indexed="81"/>
            <rFont val="Tahoma"/>
            <family val="2"/>
          </rPr>
          <t>Balance due should not include the SLTC Over/Underrun.
So formula should subtact it from this calculation.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Nanette Shumway</author>
  </authors>
  <commentList>
    <comment ref="C7" authorId="0" shapeId="0" xr:uid="{C449BA30-A13E-4C8C-A36B-8D4CA91F15F5}">
      <text>
        <r>
          <rPr>
            <b/>
            <sz val="9"/>
            <color indexed="81"/>
            <rFont val="Tahoma"/>
            <family val="2"/>
          </rPr>
          <t>the number in the formula is from the Over/Underrun of the SOT</t>
        </r>
      </text>
    </comment>
    <comment ref="A10" authorId="0" shapeId="0" xr:uid="{7782409A-40CC-45AE-83BD-766A10B583C1}">
      <text>
        <r>
          <rPr>
            <b/>
            <sz val="9"/>
            <color indexed="81"/>
            <rFont val="Tahoma"/>
            <family val="2"/>
          </rPr>
          <t>Amt of RE &amp; PP tax less MFL and Specials collected in Dec / Total Levy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8612767-01D6-4B1E-A8FE-D69FE1C3C6D7}">
      <text>
        <r>
          <rPr>
            <b/>
            <sz val="9"/>
            <color indexed="81"/>
            <rFont val="Tahoma"/>
            <family val="2"/>
          </rPr>
          <t>Amt of RE &amp; PP tax less MFL and Specials collected in Jan / Total Levy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<sst xmlns="http://schemas.openxmlformats.org/spreadsheetml/2006/main" count="307" uniqueCount="75">
  <si>
    <t xml:space="preserve"> Gross County Levy</t>
  </si>
  <si>
    <t>Paris Levy</t>
  </si>
  <si>
    <t>State Special Charge</t>
  </si>
  <si>
    <t>Levy</t>
  </si>
  <si>
    <t>County Levy after State Credit</t>
  </si>
  <si>
    <t>Over/Under Run</t>
  </si>
  <si>
    <t>Paris Levy (75% of County Levy after State Credit)</t>
  </si>
  <si>
    <t>Net Paris Levy</t>
  </si>
  <si>
    <t>Paris Over/Underrun</t>
  </si>
  <si>
    <t>SLTC Over/Underrun</t>
  </si>
  <si>
    <t>Paris Levy Due in February</t>
  </si>
  <si>
    <t>Net County Levy to Paris</t>
  </si>
  <si>
    <t>Percentage paid per January Settlement</t>
  </si>
  <si>
    <t>Taxpayer portion due in February</t>
  </si>
  <si>
    <t>Percentage paid per February Settlement</t>
  </si>
  <si>
    <t>Feb Payment Due</t>
  </si>
  <si>
    <t>Proof</t>
  </si>
  <si>
    <t>Summary Report  Jan Pymt</t>
  </si>
  <si>
    <t xml:space="preserve"> Taxpayer Portion Due for Feb Pymt</t>
  </si>
  <si>
    <t>Jan Payment</t>
  </si>
  <si>
    <t xml:space="preserve">                          Ltry Stlmt</t>
  </si>
  <si>
    <t>Subtotal</t>
  </si>
  <si>
    <t xml:space="preserve">County Balance Due </t>
  </si>
  <si>
    <t>Taxpayer portion paid in February</t>
  </si>
  <si>
    <t>Balance Due</t>
  </si>
  <si>
    <t>PAY TO ENTITIES</t>
  </si>
  <si>
    <t xml:space="preserve">LOTTERY </t>
  </si>
  <si>
    <t>AUGUST</t>
  </si>
  <si>
    <t>LEVY</t>
  </si>
  <si>
    <t>JAN SETTLEMENT</t>
  </si>
  <si>
    <t>FEB SETTLEMENT</t>
  </si>
  <si>
    <t>SETTLEMENT</t>
  </si>
  <si>
    <t>BALANCE DUE</t>
  </si>
  <si>
    <t>STATE</t>
  </si>
  <si>
    <t>State Special Charge on County</t>
  </si>
  <si>
    <t>County Levy</t>
  </si>
  <si>
    <t>COUNTY</t>
  </si>
  <si>
    <t>TOTAL TOWN</t>
  </si>
  <si>
    <t>PARIS SCHOOL</t>
  </si>
  <si>
    <t>CENTRAL WESTOSHA HS</t>
  </si>
  <si>
    <t>UNION GROVE HS</t>
  </si>
  <si>
    <t xml:space="preserve">UNION GROVE GRADE </t>
  </si>
  <si>
    <t xml:space="preserve"> SCHOOLS</t>
  </si>
  <si>
    <t>GATEWAY</t>
  </si>
  <si>
    <t>GRAND TOTAL</t>
  </si>
  <si>
    <t xml:space="preserve">PARIS   </t>
  </si>
  <si>
    <t>Overrrun/Underrun</t>
  </si>
  <si>
    <t>School Levy Tax Credit Over/Under</t>
  </si>
  <si>
    <t>Total Collections</t>
  </si>
  <si>
    <t>Collections of General Prop Tax</t>
  </si>
  <si>
    <t>Less Collections of Special Taxes (MFL)</t>
  </si>
  <si>
    <t>TOWN OF PARIS - 2019 TAX YEAR ADJUSTMENTS (Actual Paid Amounts)</t>
  </si>
  <si>
    <t>School Levy Tax Credit 2019 over/under run</t>
  </si>
  <si>
    <t>Net County Levy due from Paris</t>
  </si>
  <si>
    <t xml:space="preserve">PARIS 2019 TAX YEAR PAYMENTS AND BALANCE DUE </t>
  </si>
  <si>
    <t>Plus Delinquent Personal Property</t>
  </si>
  <si>
    <t>SLTC 2019 over/under run</t>
  </si>
  <si>
    <t>Add SLTC, LC, FDC</t>
  </si>
  <si>
    <t>Amt to Distribute</t>
  </si>
  <si>
    <t>PARIS TO PAY TO ENTITIES</t>
  </si>
  <si>
    <t xml:space="preserve">PARIS 2020 TAX YEAR PAYMENTS AND BALANCE DUE </t>
  </si>
  <si>
    <t>Balance Due from Taxpayers</t>
  </si>
  <si>
    <t>TOTAL TOWN PAID COUNTY IN FEB</t>
  </si>
  <si>
    <t>Lottery Settlement County Portion</t>
  </si>
  <si>
    <t>School Levy Tax Credit 2021 over/under run</t>
  </si>
  <si>
    <t>Note: Should have entered the $.03 as a negative in cell D7.</t>
  </si>
  <si>
    <t>TOWN OF PARIS - 2022 TAX ROLL ADJUSTMENTS (Actual Paid Amounts)</t>
  </si>
  <si>
    <t>County Balance Due FROM Paris</t>
  </si>
  <si>
    <t>Net County Levy due FROM Paris</t>
  </si>
  <si>
    <t>TOWN OF PARIS - 2022 TAX YEAR ADJUSTMENTS (Actual Paid Amounts) FEBRUARY Settlement</t>
  </si>
  <si>
    <t>TOWN OF PARIS - 2022 TAX YEAR ADJUSTMENTS (Actual Paid Amounts Through LOTTERY Settlement)</t>
  </si>
  <si>
    <t>TOWN OF PARIS - 2022 TAX YEAR ADJUSTMENTS (Actual Paid Amounts Through AUGUST Settlement)</t>
  </si>
  <si>
    <t>County's Levy Balance Due FROM Paris Taxpayers</t>
  </si>
  <si>
    <r>
      <t>Paris Levy Due in February</t>
    </r>
    <r>
      <rPr>
        <sz val="8"/>
        <rFont val="Arial"/>
        <family val="2"/>
      </rPr>
      <t xml:space="preserve"> (incl SLTC over/underrun)</t>
    </r>
  </si>
  <si>
    <t>Add back SLTC over/unerrun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</si>
</sst>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%"/>
    <numFmt numFmtId="165" formatCode="_(* #,##0.000000000_);_(* \(#,##0.000000000\);_(* &quot;-&quot;?????????_);_(@_)"/>
    <numFmt numFmtId="166" formatCode=";;;"/>
  </numFmts>
  <fonts count="27" x14ac:knownFonts="1">
    <font>
      <sz val="12"/>
      <name val="Helv"/>
    </font>
    <font>
      <b/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6"/>
      <color rgb="FFC00000"/>
      <name val="Arial"/>
      <family val="2"/>
    </font>
    <font>
      <sz val="10"/>
      <color rgb="FFC0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Helv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sz val="10"/>
      <color theme="0" tint="-0.249977111117893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0" fillId="0" borderId="4" xfId="0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0" fontId="5" fillId="0" borderId="0" xfId="0" applyFont="1" applyFill="1" applyBorder="1" applyAlignment="1">
      <alignment horizontal="right"/>
    </xf>
    <xf numFmtId="44" fontId="5" fillId="0" borderId="0" xfId="2" applyFont="1" applyFill="1" applyBorder="1"/>
    <xf numFmtId="0" fontId="5" fillId="0" borderId="4" xfId="0" applyFont="1" applyFill="1" applyBorder="1" applyAlignment="1">
      <alignment horizontal="center"/>
    </xf>
    <xf numFmtId="43" fontId="6" fillId="0" borderId="5" xfId="1" applyFont="1" applyFill="1" applyBorder="1"/>
    <xf numFmtId="0" fontId="6" fillId="0" borderId="0" xfId="0" applyFont="1" applyFill="1" applyAlignment="1">
      <alignment horizontal="right"/>
    </xf>
    <xf numFmtId="43" fontId="6" fillId="0" borderId="6" xfId="1" applyFont="1" applyFill="1" applyBorder="1"/>
    <xf numFmtId="44" fontId="6" fillId="0" borderId="4" xfId="2" applyFont="1" applyFill="1" applyBorder="1"/>
    <xf numFmtId="0" fontId="6" fillId="0" borderId="0" xfId="0" applyFont="1" applyFill="1" applyBorder="1"/>
    <xf numFmtId="43" fontId="0" fillId="0" borderId="5" xfId="0" applyNumberFormat="1" applyFill="1" applyBorder="1"/>
    <xf numFmtId="0" fontId="0" fillId="0" borderId="4" xfId="0" applyBorder="1"/>
    <xf numFmtId="44" fontId="6" fillId="0" borderId="7" xfId="2" applyFont="1" applyFill="1" applyBorder="1"/>
    <xf numFmtId="0" fontId="6" fillId="0" borderId="4" xfId="0" applyFont="1" applyFill="1" applyBorder="1" applyAlignment="1">
      <alignment horizontal="right"/>
    </xf>
    <xf numFmtId="44" fontId="6" fillId="0" borderId="0" xfId="2" applyNumberFormat="1" applyFont="1" applyFill="1" applyBorder="1"/>
    <xf numFmtId="44" fontId="6" fillId="0" borderId="1" xfId="2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44" fontId="6" fillId="0" borderId="0" xfId="2" applyFont="1" applyFill="1" applyBorder="1"/>
    <xf numFmtId="44" fontId="5" fillId="0" borderId="4" xfId="2" applyFont="1" applyFill="1" applyBorder="1"/>
    <xf numFmtId="0" fontId="7" fillId="2" borderId="0" xfId="0" applyFont="1" applyFill="1" applyBorder="1" applyAlignment="1">
      <alignment horizontal="right"/>
    </xf>
    <xf numFmtId="44" fontId="7" fillId="3" borderId="0" xfId="2" applyFont="1" applyFill="1" applyBorder="1"/>
    <xf numFmtId="0" fontId="6" fillId="0" borderId="0" xfId="0" applyFont="1" applyFill="1" applyBorder="1" applyAlignment="1">
      <alignment horizontal="right" wrapText="1"/>
    </xf>
    <xf numFmtId="164" fontId="6" fillId="0" borderId="0" xfId="3" applyNumberFormat="1" applyFont="1" applyFill="1" applyBorder="1"/>
    <xf numFmtId="44" fontId="7" fillId="2" borderId="7" xfId="2" applyFont="1" applyFill="1" applyBorder="1"/>
    <xf numFmtId="0" fontId="7" fillId="2" borderId="0" xfId="0" applyFont="1" applyFill="1" applyBorder="1"/>
    <xf numFmtId="44" fontId="8" fillId="2" borderId="4" xfId="2" applyFont="1" applyFill="1" applyBorder="1"/>
    <xf numFmtId="0" fontId="8" fillId="2" borderId="0" xfId="0" applyFont="1" applyFill="1" applyBorder="1" applyAlignment="1"/>
    <xf numFmtId="0" fontId="9" fillId="2" borderId="0" xfId="0" applyFont="1" applyFill="1" applyBorder="1"/>
    <xf numFmtId="0" fontId="10" fillId="2" borderId="5" xfId="0" applyFont="1" applyFill="1" applyBorder="1"/>
    <xf numFmtId="0" fontId="0" fillId="0" borderId="0" xfId="0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0" borderId="5" xfId="0" applyFont="1" applyFill="1" applyBorder="1"/>
    <xf numFmtId="43" fontId="7" fillId="2" borderId="0" xfId="1" applyFont="1" applyFill="1" applyBorder="1"/>
    <xf numFmtId="0" fontId="0" fillId="0" borderId="4" xfId="0" applyFill="1" applyBorder="1" applyAlignment="1">
      <alignment horizontal="right"/>
    </xf>
    <xf numFmtId="44" fontId="7" fillId="2" borderId="4" xfId="2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right"/>
    </xf>
    <xf numFmtId="44" fontId="0" fillId="0" borderId="5" xfId="2" applyFont="1" applyFill="1" applyBorder="1"/>
    <xf numFmtId="43" fontId="6" fillId="0" borderId="8" xfId="0" applyNumberFormat="1" applyFont="1" applyFill="1" applyBorder="1"/>
    <xf numFmtId="43" fontId="0" fillId="0" borderId="6" xfId="0" applyNumberFormat="1" applyFill="1" applyBorder="1"/>
    <xf numFmtId="0" fontId="0" fillId="0" borderId="7" xfId="0" applyFill="1" applyBorder="1"/>
    <xf numFmtId="0" fontId="7" fillId="0" borderId="8" xfId="0" applyFont="1" applyFill="1" applyBorder="1"/>
    <xf numFmtId="44" fontId="7" fillId="0" borderId="8" xfId="2" applyFont="1" applyFill="1" applyBorder="1"/>
    <xf numFmtId="0" fontId="0" fillId="0" borderId="9" xfId="0" applyFill="1" applyBorder="1"/>
    <xf numFmtId="0" fontId="6" fillId="0" borderId="8" xfId="0" applyFont="1" applyFill="1" applyBorder="1"/>
    <xf numFmtId="0" fontId="0" fillId="0" borderId="8" xfId="0" applyFill="1" applyBorder="1"/>
    <xf numFmtId="0" fontId="0" fillId="0" borderId="6" xfId="0" applyFill="1" applyBorder="1"/>
    <xf numFmtId="43" fontId="0" fillId="0" borderId="0" xfId="0" applyNumberFormat="1" applyBorder="1"/>
    <xf numFmtId="0" fontId="0" fillId="0" borderId="0" xfId="0" applyBorder="1"/>
    <xf numFmtId="43" fontId="0" fillId="0" borderId="0" xfId="1" applyFont="1" applyBorder="1"/>
    <xf numFmtId="0" fontId="1" fillId="0" borderId="10" xfId="0" applyFont="1" applyBorder="1"/>
    <xf numFmtId="0" fontId="1" fillId="0" borderId="9" xfId="0" applyFont="1" applyBorder="1"/>
    <xf numFmtId="0" fontId="0" fillId="0" borderId="2" xfId="0" applyBorder="1"/>
    <xf numFmtId="0" fontId="11" fillId="0" borderId="1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0" fillId="0" borderId="3" xfId="0" applyBorder="1"/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1" fillId="0" borderId="6" xfId="0" applyFont="1" applyBorder="1"/>
    <xf numFmtId="0" fontId="5" fillId="0" borderId="7" xfId="0" applyFont="1" applyBorder="1" applyAlignment="1">
      <alignment horizontal="right"/>
    </xf>
    <xf numFmtId="43" fontId="5" fillId="0" borderId="12" xfId="1" applyFont="1" applyBorder="1"/>
    <xf numFmtId="43" fontId="5" fillId="0" borderId="7" xfId="1" applyFont="1" applyBorder="1"/>
    <xf numFmtId="43" fontId="5" fillId="0" borderId="12" xfId="1" applyFont="1" applyFill="1" applyBorder="1"/>
    <xf numFmtId="43" fontId="5" fillId="0" borderId="6" xfId="1" applyFont="1" applyFill="1" applyBorder="1"/>
    <xf numFmtId="43" fontId="5" fillId="0" borderId="6" xfId="1" applyFont="1" applyBorder="1"/>
    <xf numFmtId="0" fontId="6" fillId="0" borderId="4" xfId="0" applyFont="1" applyBorder="1"/>
    <xf numFmtId="43" fontId="6" fillId="0" borderId="13" xfId="1" applyFont="1" applyFill="1" applyBorder="1"/>
    <xf numFmtId="0" fontId="11" fillId="4" borderId="4" xfId="0" applyFont="1" applyFill="1" applyBorder="1" applyAlignment="1">
      <alignment horizontal="center"/>
    </xf>
    <xf numFmtId="0" fontId="16" fillId="0" borderId="13" xfId="0" applyFont="1" applyFill="1" applyBorder="1"/>
    <xf numFmtId="0" fontId="15" fillId="0" borderId="5" xfId="0" applyFont="1" applyFill="1" applyBorder="1"/>
    <xf numFmtId="0" fontId="11" fillId="4" borderId="5" xfId="0" applyFont="1" applyFill="1" applyBorder="1"/>
    <xf numFmtId="0" fontId="6" fillId="0" borderId="7" xfId="0" applyFont="1" applyBorder="1" applyAlignment="1">
      <alignment horizontal="left"/>
    </xf>
    <xf numFmtId="43" fontId="6" fillId="4" borderId="7" xfId="1" applyFont="1" applyFill="1" applyBorder="1"/>
    <xf numFmtId="43" fontId="6" fillId="0" borderId="12" xfId="1" applyFont="1" applyFill="1" applyBorder="1"/>
    <xf numFmtId="43" fontId="6" fillId="4" borderId="6" xfId="1" applyFont="1" applyFill="1" applyBorder="1"/>
    <xf numFmtId="43" fontId="5" fillId="0" borderId="12" xfId="0" applyNumberFormat="1" applyFont="1" applyBorder="1"/>
    <xf numFmtId="43" fontId="5" fillId="2" borderId="12" xfId="1" applyFont="1" applyFill="1" applyBorder="1"/>
    <xf numFmtId="43" fontId="6" fillId="5" borderId="13" xfId="1" applyFont="1" applyFill="1" applyBorder="1"/>
    <xf numFmtId="43" fontId="6" fillId="4" borderId="4" xfId="1" applyFont="1" applyFill="1" applyBorder="1"/>
    <xf numFmtId="0" fontId="6" fillId="0" borderId="13" xfId="0" applyFont="1" applyFill="1" applyBorder="1"/>
    <xf numFmtId="43" fontId="6" fillId="4" borderId="5" xfId="1" applyFont="1" applyFill="1" applyBorder="1"/>
    <xf numFmtId="0" fontId="6" fillId="5" borderId="7" xfId="0" applyFont="1" applyFill="1" applyBorder="1" applyAlignment="1">
      <alignment horizontal="right"/>
    </xf>
    <xf numFmtId="43" fontId="6" fillId="5" borderId="12" xfId="1" applyFont="1" applyFill="1" applyBorder="1"/>
    <xf numFmtId="0" fontId="5" fillId="0" borderId="10" xfId="0" applyFont="1" applyBorder="1" applyAlignment="1">
      <alignment horizontal="right"/>
    </xf>
    <xf numFmtId="43" fontId="5" fillId="5" borderId="11" xfId="1" applyFont="1" applyFill="1" applyBorder="1"/>
    <xf numFmtId="43" fontId="6" fillId="4" borderId="10" xfId="1" applyFont="1" applyFill="1" applyBorder="1"/>
    <xf numFmtId="43" fontId="5" fillId="2" borderId="11" xfId="1" applyFont="1" applyFill="1" applyBorder="1"/>
    <xf numFmtId="43" fontId="5" fillId="0" borderId="14" xfId="1" applyFont="1" applyFill="1" applyBorder="1"/>
    <xf numFmtId="43" fontId="5" fillId="4" borderId="14" xfId="1" applyFont="1" applyFill="1" applyBorder="1"/>
    <xf numFmtId="43" fontId="5" fillId="0" borderId="5" xfId="1" applyFont="1" applyFill="1" applyBorder="1"/>
    <xf numFmtId="43" fontId="6" fillId="0" borderId="15" xfId="1" applyFont="1" applyBorder="1"/>
    <xf numFmtId="43" fontId="6" fillId="0" borderId="13" xfId="1" applyFont="1" applyBorder="1"/>
    <xf numFmtId="43" fontId="6" fillId="0" borderId="12" xfId="1" applyFont="1" applyBorder="1"/>
    <xf numFmtId="43" fontId="5" fillId="0" borderId="11" xfId="1" applyFont="1" applyFill="1" applyBorder="1"/>
    <xf numFmtId="43" fontId="5" fillId="0" borderId="10" xfId="1" applyFont="1" applyFill="1" applyBorder="1"/>
    <xf numFmtId="43" fontId="5" fillId="0" borderId="12" xfId="0" applyNumberFormat="1" applyFont="1" applyFill="1" applyBorder="1"/>
    <xf numFmtId="43" fontId="5" fillId="0" borderId="7" xfId="0" applyNumberFormat="1" applyFont="1" applyFill="1" applyBorder="1"/>
    <xf numFmtId="43" fontId="0" fillId="0" borderId="0" xfId="0" applyNumberFormat="1" applyFill="1" applyBorder="1"/>
    <xf numFmtId="43" fontId="0" fillId="0" borderId="0" xfId="0" applyNumberFormat="1"/>
    <xf numFmtId="43" fontId="6" fillId="0" borderId="0" xfId="0" applyNumberFormat="1" applyFont="1"/>
    <xf numFmtId="43" fontId="0" fillId="0" borderId="0" xfId="1" applyFont="1"/>
    <xf numFmtId="0" fontId="0" fillId="6" borderId="4" xfId="0" applyFill="1" applyBorder="1"/>
    <xf numFmtId="0" fontId="6" fillId="6" borderId="0" xfId="0" applyFont="1" applyFill="1" applyBorder="1" applyAlignment="1">
      <alignment horizontal="right" wrapText="1"/>
    </xf>
    <xf numFmtId="164" fontId="6" fillId="6" borderId="0" xfId="3" applyNumberFormat="1" applyFont="1" applyFill="1" applyBorder="1"/>
    <xf numFmtId="0" fontId="6" fillId="5" borderId="4" xfId="0" applyFont="1" applyFill="1" applyBorder="1" applyAlignment="1">
      <alignment horizontal="right"/>
    </xf>
    <xf numFmtId="165" fontId="6" fillId="0" borderId="0" xfId="1" applyNumberFormat="1" applyFont="1" applyFill="1" applyBorder="1"/>
    <xf numFmtId="0" fontId="18" fillId="7" borderId="4" xfId="0" applyFont="1" applyFill="1" applyBorder="1"/>
    <xf numFmtId="0" fontId="18" fillId="7" borderId="0" xfId="0" applyFont="1" applyFill="1" applyBorder="1" applyAlignment="1">
      <alignment horizontal="right"/>
    </xf>
    <xf numFmtId="44" fontId="5" fillId="7" borderId="0" xfId="2" applyFont="1" applyFill="1" applyBorder="1"/>
    <xf numFmtId="44" fontId="5" fillId="2" borderId="0" xfId="2" applyFont="1" applyFill="1" applyBorder="1"/>
    <xf numFmtId="0" fontId="20" fillId="0" borderId="0" xfId="0" applyFont="1" applyFill="1" applyBorder="1" applyAlignment="1">
      <alignment horizontal="right"/>
    </xf>
    <xf numFmtId="44" fontId="6" fillId="0" borderId="8" xfId="2" applyFont="1" applyFill="1" applyBorder="1"/>
    <xf numFmtId="0" fontId="21" fillId="2" borderId="0" xfId="0" applyFont="1" applyFill="1" applyBorder="1" applyAlignment="1">
      <alignment horizontal="right"/>
    </xf>
    <xf numFmtId="43" fontId="22" fillId="0" borderId="0" xfId="0" applyNumberFormat="1" applyFont="1"/>
    <xf numFmtId="166" fontId="5" fillId="0" borderId="4" xfId="0" applyNumberFormat="1" applyFont="1" applyFill="1" applyBorder="1" applyAlignment="1">
      <alignment horizontal="center"/>
    </xf>
    <xf numFmtId="166" fontId="6" fillId="0" borderId="5" xfId="1" applyNumberFormat="1" applyFont="1" applyFill="1" applyBorder="1"/>
    <xf numFmtId="166" fontId="6" fillId="0" borderId="4" xfId="2" applyNumberFormat="1" applyFont="1" applyFill="1" applyBorder="1"/>
    <xf numFmtId="166" fontId="6" fillId="0" borderId="0" xfId="0" applyNumberFormat="1" applyFont="1" applyFill="1" applyBorder="1"/>
    <xf numFmtId="166" fontId="0" fillId="0" borderId="5" xfId="0" applyNumberFormat="1" applyFont="1" applyFill="1" applyBorder="1"/>
    <xf numFmtId="166" fontId="6" fillId="0" borderId="7" xfId="2" applyNumberFormat="1" applyFont="1" applyFill="1" applyBorder="1"/>
    <xf numFmtId="166" fontId="6" fillId="0" borderId="1" xfId="2" applyNumberFormat="1" applyFont="1" applyFill="1" applyBorder="1"/>
    <xf numFmtId="166" fontId="5" fillId="0" borderId="0" xfId="0" applyNumberFormat="1" applyFont="1" applyFill="1" applyBorder="1"/>
    <xf numFmtId="166" fontId="5" fillId="0" borderId="4" xfId="2" applyNumberFormat="1" applyFont="1" applyFill="1" applyBorder="1"/>
    <xf numFmtId="166" fontId="6" fillId="0" borderId="5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6" fontId="5" fillId="0" borderId="2" xfId="0" applyNumberFormat="1" applyFont="1" applyFill="1" applyBorder="1"/>
    <xf numFmtId="166" fontId="5" fillId="0" borderId="3" xfId="0" applyNumberFormat="1" applyFont="1" applyFill="1" applyBorder="1"/>
    <xf numFmtId="166" fontId="6" fillId="0" borderId="0" xfId="1" applyNumberFormat="1" applyFont="1" applyFill="1" applyBorder="1"/>
    <xf numFmtId="166" fontId="6" fillId="0" borderId="8" xfId="0" applyNumberFormat="1" applyFont="1" applyFill="1" applyBorder="1"/>
    <xf numFmtId="166" fontId="0" fillId="0" borderId="6" xfId="0" applyNumberFormat="1" applyFont="1" applyFill="1" applyBorder="1"/>
    <xf numFmtId="166" fontId="0" fillId="0" borderId="9" xfId="0" applyNumberFormat="1" applyFont="1" applyFill="1" applyBorder="1"/>
    <xf numFmtId="166" fontId="0" fillId="0" borderId="8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ill="1" applyBorder="1"/>
    <xf numFmtId="0" fontId="0" fillId="0" borderId="5" xfId="0" applyNumberFormat="1" applyFill="1" applyBorder="1"/>
    <xf numFmtId="0" fontId="6" fillId="0" borderId="5" xfId="1" applyNumberFormat="1" applyFont="1" applyFill="1" applyBorder="1"/>
    <xf numFmtId="0" fontId="0" fillId="0" borderId="5" xfId="0" applyNumberFormat="1" applyFont="1" applyFill="1" applyBorder="1"/>
    <xf numFmtId="0" fontId="6" fillId="0" borderId="5" xfId="0" applyNumberFormat="1" applyFont="1" applyFill="1" applyBorder="1"/>
    <xf numFmtId="0" fontId="6" fillId="0" borderId="8" xfId="0" applyNumberFormat="1" applyFont="1" applyFill="1" applyBorder="1"/>
    <xf numFmtId="0" fontId="0" fillId="0" borderId="6" xfId="0" applyNumberFormat="1" applyFont="1" applyFill="1" applyBorder="1"/>
    <xf numFmtId="0" fontId="0" fillId="0" borderId="9" xfId="0" applyNumberFormat="1" applyFont="1" applyFill="1" applyBorder="1"/>
    <xf numFmtId="0" fontId="0" fillId="0" borderId="8" xfId="0" applyNumberFormat="1" applyFont="1" applyFill="1" applyBorder="1"/>
    <xf numFmtId="166" fontId="0" fillId="0" borderId="0" xfId="0" applyNumberFormat="1" applyFill="1" applyBorder="1"/>
    <xf numFmtId="166" fontId="7" fillId="2" borderId="7" xfId="2" applyNumberFormat="1" applyFont="1" applyFill="1" applyBorder="1"/>
    <xf numFmtId="166" fontId="7" fillId="2" borderId="0" xfId="0" applyNumberFormat="1" applyFont="1" applyFill="1" applyBorder="1"/>
    <xf numFmtId="166" fontId="8" fillId="2" borderId="4" xfId="2" applyNumberFormat="1" applyFont="1" applyFill="1" applyBorder="1"/>
    <xf numFmtId="166" fontId="8" fillId="2" borderId="0" xfId="0" applyNumberFormat="1" applyFont="1" applyFill="1" applyBorder="1" applyAlignment="1"/>
    <xf numFmtId="166" fontId="9" fillId="2" borderId="0" xfId="0" applyNumberFormat="1" applyFont="1" applyFill="1" applyBorder="1"/>
    <xf numFmtId="166" fontId="0" fillId="0" borderId="5" xfId="0" applyNumberFormat="1" applyFill="1" applyBorder="1"/>
    <xf numFmtId="166" fontId="7" fillId="2" borderId="4" xfId="2" applyNumberFormat="1" applyFont="1" applyFill="1" applyBorder="1"/>
    <xf numFmtId="166" fontId="0" fillId="0" borderId="6" xfId="0" applyNumberFormat="1" applyFill="1" applyBorder="1"/>
    <xf numFmtId="0" fontId="12" fillId="0" borderId="10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43" fontId="6" fillId="8" borderId="7" xfId="1" applyFont="1" applyFill="1" applyBorder="1"/>
    <xf numFmtId="43" fontId="6" fillId="8" borderId="4" xfId="1" applyFont="1" applyFill="1" applyBorder="1"/>
    <xf numFmtId="43" fontId="6" fillId="8" borderId="10" xfId="1" applyFont="1" applyFill="1" applyBorder="1"/>
    <xf numFmtId="0" fontId="11" fillId="8" borderId="5" xfId="0" applyFont="1" applyFill="1" applyBorder="1"/>
    <xf numFmtId="43" fontId="6" fillId="8" borderId="6" xfId="1" applyFont="1" applyFill="1" applyBorder="1"/>
    <xf numFmtId="43" fontId="6" fillId="5" borderId="5" xfId="1" applyFont="1" applyFill="1" applyBorder="1"/>
    <xf numFmtId="43" fontId="6" fillId="5" borderId="6" xfId="1" applyFont="1" applyFill="1" applyBorder="1"/>
    <xf numFmtId="43" fontId="5" fillId="5" borderId="14" xfId="1" applyFont="1" applyFill="1" applyBorder="1"/>
    <xf numFmtId="0" fontId="5" fillId="0" borderId="0" xfId="0" applyFont="1" applyAlignment="1">
      <alignment horizontal="right"/>
    </xf>
    <xf numFmtId="0" fontId="0" fillId="2" borderId="5" xfId="0" applyFill="1" applyBorder="1"/>
    <xf numFmtId="0" fontId="24" fillId="9" borderId="0" xfId="0" applyFont="1" applyFill="1" applyBorder="1" applyAlignment="1">
      <alignment horizontal="right"/>
    </xf>
    <xf numFmtId="44" fontId="24" fillId="9" borderId="8" xfId="2" applyFont="1" applyFill="1" applyBorder="1"/>
    <xf numFmtId="44" fontId="9" fillId="2" borderId="4" xfId="2" applyFont="1" applyFill="1" applyBorder="1"/>
    <xf numFmtId="0" fontId="9" fillId="2" borderId="0" xfId="0" applyFont="1" applyFill="1" applyBorder="1" applyAlignment="1"/>
    <xf numFmtId="0" fontId="25" fillId="0" borderId="4" xfId="0" applyFont="1" applyFill="1" applyBorder="1" applyAlignment="1"/>
    <xf numFmtId="43" fontId="6" fillId="9" borderId="0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9</xdr:row>
      <xdr:rowOff>180975</xdr:rowOff>
    </xdr:from>
    <xdr:to>
      <xdr:col>4</xdr:col>
      <xdr:colOff>571500</xdr:colOff>
      <xdr:row>17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794F1F-4EC1-4F31-8EAA-82636533D478}"/>
            </a:ext>
          </a:extLst>
        </xdr:cNvPr>
        <xdr:cNvSpPr txBox="1"/>
      </xdr:nvSpPr>
      <xdr:spPr>
        <a:xfrm rot="20857518">
          <a:off x="2590800" y="1981200"/>
          <a:ext cx="4552950" cy="1781175"/>
        </a:xfrm>
        <a:prstGeom prst="rect">
          <a:avLst/>
        </a:prstGeom>
        <a:solidFill>
          <a:schemeClr val="lt1">
            <a:alpha val="44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>
              <a:solidFill>
                <a:srgbClr val="FF0000"/>
              </a:solidFill>
              <a:effectLst>
                <a:outerShdw blurRad="50800" dist="50800" dir="5400000" algn="ctr" rotWithShape="0">
                  <a:srgbClr val="000000">
                    <a:alpha val="62000"/>
                  </a:srgbClr>
                </a:outerShdw>
              </a:effectLst>
            </a:rPr>
            <a:t>Not updated</a:t>
          </a:r>
          <a:r>
            <a:rPr lang="en-US" sz="4400" baseline="0">
              <a:solidFill>
                <a:srgbClr val="FF0000"/>
              </a:solidFill>
              <a:effectLst>
                <a:outerShdw blurRad="50800" dist="50800" dir="5400000" algn="ctr" rotWithShape="0">
                  <a:srgbClr val="000000">
                    <a:alpha val="62000"/>
                  </a:srgbClr>
                </a:outerShdw>
              </a:effectLst>
            </a:rPr>
            <a:t> for 2022</a:t>
          </a:r>
          <a:endParaRPr lang="en-US" sz="4400">
            <a:solidFill>
              <a:srgbClr val="FF0000"/>
            </a:solidFill>
            <a:effectLst>
              <a:outerShdw blurRad="50800" dist="50800" dir="5400000" algn="ctr" rotWithShape="0">
                <a:srgbClr val="000000">
                  <a:alpha val="62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5</xdr:col>
      <xdr:colOff>590550</xdr:colOff>
      <xdr:row>20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D1717A-895D-449A-AF71-6FA8998CE590}"/>
            </a:ext>
          </a:extLst>
        </xdr:cNvPr>
        <xdr:cNvSpPr txBox="1"/>
      </xdr:nvSpPr>
      <xdr:spPr>
        <a:xfrm rot="20857518">
          <a:off x="3724275" y="2676525"/>
          <a:ext cx="4552950" cy="1781175"/>
        </a:xfrm>
        <a:prstGeom prst="rect">
          <a:avLst/>
        </a:prstGeom>
        <a:solidFill>
          <a:schemeClr val="lt1">
            <a:alpha val="44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>
              <a:solidFill>
                <a:srgbClr val="FF0000"/>
              </a:solidFill>
              <a:effectLst>
                <a:outerShdw blurRad="50800" dist="50800" dir="5400000" algn="ctr" rotWithShape="0">
                  <a:srgbClr val="000000">
                    <a:alpha val="62000"/>
                  </a:srgbClr>
                </a:outerShdw>
              </a:effectLst>
            </a:rPr>
            <a:t>Not updated</a:t>
          </a:r>
          <a:r>
            <a:rPr lang="en-US" sz="4400" baseline="0">
              <a:solidFill>
                <a:srgbClr val="FF0000"/>
              </a:solidFill>
              <a:effectLst>
                <a:outerShdw blurRad="50800" dist="50800" dir="5400000" algn="ctr" rotWithShape="0">
                  <a:srgbClr val="000000">
                    <a:alpha val="62000"/>
                  </a:srgbClr>
                </a:outerShdw>
              </a:effectLst>
            </a:rPr>
            <a:t> for 2022</a:t>
          </a:r>
          <a:endParaRPr lang="en-US" sz="4400">
            <a:solidFill>
              <a:srgbClr val="FF0000"/>
            </a:solidFill>
            <a:effectLst>
              <a:outerShdw blurRad="50800" dist="50800" dir="5400000" algn="ctr" rotWithShape="0">
                <a:srgbClr val="000000">
                  <a:alpha val="62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G50"/>
  <sheetViews>
    <sheetView topLeftCell="A10" workbookViewId="0">
      <selection activeCell="C13" sqref="C13"/>
    </sheetView>
  </sheetViews>
  <sheetFormatPr defaultRowHeight="15.75" x14ac:dyDescent="0.25"/>
  <cols>
    <col min="1" max="1" width="27" customWidth="1"/>
    <col min="2" max="2" width="16.44140625" customWidth="1"/>
    <col min="3" max="3" width="15.109375" bestFit="1" customWidth="1"/>
    <col min="4" max="4" width="16.77734375" bestFit="1" customWidth="1"/>
    <col min="5" max="5" width="13" bestFit="1" customWidth="1"/>
    <col min="6" max="6" width="11.6640625" bestFit="1" customWidth="1"/>
    <col min="7" max="7" width="11.88671875" customWidth="1"/>
    <col min="249" max="249" width="23.88671875" bestFit="1" customWidth="1"/>
    <col min="250" max="250" width="18.109375" customWidth="1"/>
    <col min="251" max="251" width="15.109375" bestFit="1" customWidth="1"/>
    <col min="252" max="252" width="16.77734375" bestFit="1" customWidth="1"/>
    <col min="253" max="253" width="13" bestFit="1" customWidth="1"/>
    <col min="254" max="254" width="11.6640625" bestFit="1" customWidth="1"/>
    <col min="255" max="255" width="11.88671875" customWidth="1"/>
    <col min="256" max="256" width="8.77734375" bestFit="1" customWidth="1"/>
    <col min="259" max="259" width="13.44140625" customWidth="1"/>
    <col min="260" max="260" width="10.77734375" customWidth="1"/>
    <col min="505" max="505" width="23.88671875" bestFit="1" customWidth="1"/>
    <col min="506" max="506" width="18.109375" customWidth="1"/>
    <col min="507" max="507" width="15.109375" bestFit="1" customWidth="1"/>
    <col min="508" max="508" width="16.77734375" bestFit="1" customWidth="1"/>
    <col min="509" max="509" width="13" bestFit="1" customWidth="1"/>
    <col min="510" max="510" width="11.6640625" bestFit="1" customWidth="1"/>
    <col min="511" max="511" width="11.88671875" customWidth="1"/>
    <col min="512" max="512" width="8.77734375" bestFit="1" customWidth="1"/>
    <col min="515" max="515" width="13.44140625" customWidth="1"/>
    <col min="516" max="516" width="10.77734375" customWidth="1"/>
    <col min="761" max="761" width="23.88671875" bestFit="1" customWidth="1"/>
    <col min="762" max="762" width="18.109375" customWidth="1"/>
    <col min="763" max="763" width="15.109375" bestFit="1" customWidth="1"/>
    <col min="764" max="764" width="16.77734375" bestFit="1" customWidth="1"/>
    <col min="765" max="765" width="13" bestFit="1" customWidth="1"/>
    <col min="766" max="766" width="11.6640625" bestFit="1" customWidth="1"/>
    <col min="767" max="767" width="11.88671875" customWidth="1"/>
    <col min="768" max="768" width="8.77734375" bestFit="1" customWidth="1"/>
    <col min="771" max="771" width="13.44140625" customWidth="1"/>
    <col min="772" max="772" width="10.77734375" customWidth="1"/>
    <col min="1017" max="1017" width="23.88671875" bestFit="1" customWidth="1"/>
    <col min="1018" max="1018" width="18.109375" customWidth="1"/>
    <col min="1019" max="1019" width="15.109375" bestFit="1" customWidth="1"/>
    <col min="1020" max="1020" width="16.77734375" bestFit="1" customWidth="1"/>
    <col min="1021" max="1021" width="13" bestFit="1" customWidth="1"/>
    <col min="1022" max="1022" width="11.6640625" bestFit="1" customWidth="1"/>
    <col min="1023" max="1023" width="11.88671875" customWidth="1"/>
    <col min="1024" max="1024" width="8.77734375" bestFit="1" customWidth="1"/>
    <col min="1027" max="1027" width="13.44140625" customWidth="1"/>
    <col min="1028" max="1028" width="10.77734375" customWidth="1"/>
    <col min="1273" max="1273" width="23.88671875" bestFit="1" customWidth="1"/>
    <col min="1274" max="1274" width="18.109375" customWidth="1"/>
    <col min="1275" max="1275" width="15.109375" bestFit="1" customWidth="1"/>
    <col min="1276" max="1276" width="16.77734375" bestFit="1" customWidth="1"/>
    <col min="1277" max="1277" width="13" bestFit="1" customWidth="1"/>
    <col min="1278" max="1278" width="11.6640625" bestFit="1" customWidth="1"/>
    <col min="1279" max="1279" width="11.88671875" customWidth="1"/>
    <col min="1280" max="1280" width="8.77734375" bestFit="1" customWidth="1"/>
    <col min="1283" max="1283" width="13.44140625" customWidth="1"/>
    <col min="1284" max="1284" width="10.77734375" customWidth="1"/>
    <col min="1529" max="1529" width="23.88671875" bestFit="1" customWidth="1"/>
    <col min="1530" max="1530" width="18.109375" customWidth="1"/>
    <col min="1531" max="1531" width="15.109375" bestFit="1" customWidth="1"/>
    <col min="1532" max="1532" width="16.77734375" bestFit="1" customWidth="1"/>
    <col min="1533" max="1533" width="13" bestFit="1" customWidth="1"/>
    <col min="1534" max="1534" width="11.6640625" bestFit="1" customWidth="1"/>
    <col min="1535" max="1535" width="11.88671875" customWidth="1"/>
    <col min="1536" max="1536" width="8.77734375" bestFit="1" customWidth="1"/>
    <col min="1539" max="1539" width="13.44140625" customWidth="1"/>
    <col min="1540" max="1540" width="10.77734375" customWidth="1"/>
    <col min="1785" max="1785" width="23.88671875" bestFit="1" customWidth="1"/>
    <col min="1786" max="1786" width="18.109375" customWidth="1"/>
    <col min="1787" max="1787" width="15.109375" bestFit="1" customWidth="1"/>
    <col min="1788" max="1788" width="16.77734375" bestFit="1" customWidth="1"/>
    <col min="1789" max="1789" width="13" bestFit="1" customWidth="1"/>
    <col min="1790" max="1790" width="11.6640625" bestFit="1" customWidth="1"/>
    <col min="1791" max="1791" width="11.88671875" customWidth="1"/>
    <col min="1792" max="1792" width="8.77734375" bestFit="1" customWidth="1"/>
    <col min="1795" max="1795" width="13.44140625" customWidth="1"/>
    <col min="1796" max="1796" width="10.77734375" customWidth="1"/>
    <col min="2041" max="2041" width="23.88671875" bestFit="1" customWidth="1"/>
    <col min="2042" max="2042" width="18.109375" customWidth="1"/>
    <col min="2043" max="2043" width="15.109375" bestFit="1" customWidth="1"/>
    <col min="2044" max="2044" width="16.77734375" bestFit="1" customWidth="1"/>
    <col min="2045" max="2045" width="13" bestFit="1" customWidth="1"/>
    <col min="2046" max="2046" width="11.6640625" bestFit="1" customWidth="1"/>
    <col min="2047" max="2047" width="11.88671875" customWidth="1"/>
    <col min="2048" max="2048" width="8.77734375" bestFit="1" customWidth="1"/>
    <col min="2051" max="2051" width="13.44140625" customWidth="1"/>
    <col min="2052" max="2052" width="10.77734375" customWidth="1"/>
    <col min="2297" max="2297" width="23.88671875" bestFit="1" customWidth="1"/>
    <col min="2298" max="2298" width="18.109375" customWidth="1"/>
    <col min="2299" max="2299" width="15.109375" bestFit="1" customWidth="1"/>
    <col min="2300" max="2300" width="16.77734375" bestFit="1" customWidth="1"/>
    <col min="2301" max="2301" width="13" bestFit="1" customWidth="1"/>
    <col min="2302" max="2302" width="11.6640625" bestFit="1" customWidth="1"/>
    <col min="2303" max="2303" width="11.88671875" customWidth="1"/>
    <col min="2304" max="2304" width="8.77734375" bestFit="1" customWidth="1"/>
    <col min="2307" max="2307" width="13.44140625" customWidth="1"/>
    <col min="2308" max="2308" width="10.77734375" customWidth="1"/>
    <col min="2553" max="2553" width="23.88671875" bestFit="1" customWidth="1"/>
    <col min="2554" max="2554" width="18.109375" customWidth="1"/>
    <col min="2555" max="2555" width="15.109375" bestFit="1" customWidth="1"/>
    <col min="2556" max="2556" width="16.77734375" bestFit="1" customWidth="1"/>
    <col min="2557" max="2557" width="13" bestFit="1" customWidth="1"/>
    <col min="2558" max="2558" width="11.6640625" bestFit="1" customWidth="1"/>
    <col min="2559" max="2559" width="11.88671875" customWidth="1"/>
    <col min="2560" max="2560" width="8.77734375" bestFit="1" customWidth="1"/>
    <col min="2563" max="2563" width="13.44140625" customWidth="1"/>
    <col min="2564" max="2564" width="10.77734375" customWidth="1"/>
    <col min="2809" max="2809" width="23.88671875" bestFit="1" customWidth="1"/>
    <col min="2810" max="2810" width="18.109375" customWidth="1"/>
    <col min="2811" max="2811" width="15.109375" bestFit="1" customWidth="1"/>
    <col min="2812" max="2812" width="16.77734375" bestFit="1" customWidth="1"/>
    <col min="2813" max="2813" width="13" bestFit="1" customWidth="1"/>
    <col min="2814" max="2814" width="11.6640625" bestFit="1" customWidth="1"/>
    <col min="2815" max="2815" width="11.88671875" customWidth="1"/>
    <col min="2816" max="2816" width="8.77734375" bestFit="1" customWidth="1"/>
    <col min="2819" max="2819" width="13.44140625" customWidth="1"/>
    <col min="2820" max="2820" width="10.77734375" customWidth="1"/>
    <col min="3065" max="3065" width="23.88671875" bestFit="1" customWidth="1"/>
    <col min="3066" max="3066" width="18.109375" customWidth="1"/>
    <col min="3067" max="3067" width="15.109375" bestFit="1" customWidth="1"/>
    <col min="3068" max="3068" width="16.77734375" bestFit="1" customWidth="1"/>
    <col min="3069" max="3069" width="13" bestFit="1" customWidth="1"/>
    <col min="3070" max="3070" width="11.6640625" bestFit="1" customWidth="1"/>
    <col min="3071" max="3071" width="11.88671875" customWidth="1"/>
    <col min="3072" max="3072" width="8.77734375" bestFit="1" customWidth="1"/>
    <col min="3075" max="3075" width="13.44140625" customWidth="1"/>
    <col min="3076" max="3076" width="10.77734375" customWidth="1"/>
    <col min="3321" max="3321" width="23.88671875" bestFit="1" customWidth="1"/>
    <col min="3322" max="3322" width="18.109375" customWidth="1"/>
    <col min="3323" max="3323" width="15.109375" bestFit="1" customWidth="1"/>
    <col min="3324" max="3324" width="16.77734375" bestFit="1" customWidth="1"/>
    <col min="3325" max="3325" width="13" bestFit="1" customWidth="1"/>
    <col min="3326" max="3326" width="11.6640625" bestFit="1" customWidth="1"/>
    <col min="3327" max="3327" width="11.88671875" customWidth="1"/>
    <col min="3328" max="3328" width="8.77734375" bestFit="1" customWidth="1"/>
    <col min="3331" max="3331" width="13.44140625" customWidth="1"/>
    <col min="3332" max="3332" width="10.77734375" customWidth="1"/>
    <col min="3577" max="3577" width="23.88671875" bestFit="1" customWidth="1"/>
    <col min="3578" max="3578" width="18.109375" customWidth="1"/>
    <col min="3579" max="3579" width="15.109375" bestFit="1" customWidth="1"/>
    <col min="3580" max="3580" width="16.77734375" bestFit="1" customWidth="1"/>
    <col min="3581" max="3581" width="13" bestFit="1" customWidth="1"/>
    <col min="3582" max="3582" width="11.6640625" bestFit="1" customWidth="1"/>
    <col min="3583" max="3583" width="11.88671875" customWidth="1"/>
    <col min="3584" max="3584" width="8.77734375" bestFit="1" customWidth="1"/>
    <col min="3587" max="3587" width="13.44140625" customWidth="1"/>
    <col min="3588" max="3588" width="10.77734375" customWidth="1"/>
    <col min="3833" max="3833" width="23.88671875" bestFit="1" customWidth="1"/>
    <col min="3834" max="3834" width="18.109375" customWidth="1"/>
    <col min="3835" max="3835" width="15.109375" bestFit="1" customWidth="1"/>
    <col min="3836" max="3836" width="16.77734375" bestFit="1" customWidth="1"/>
    <col min="3837" max="3837" width="13" bestFit="1" customWidth="1"/>
    <col min="3838" max="3838" width="11.6640625" bestFit="1" customWidth="1"/>
    <col min="3839" max="3839" width="11.88671875" customWidth="1"/>
    <col min="3840" max="3840" width="8.77734375" bestFit="1" customWidth="1"/>
    <col min="3843" max="3843" width="13.44140625" customWidth="1"/>
    <col min="3844" max="3844" width="10.77734375" customWidth="1"/>
    <col min="4089" max="4089" width="23.88671875" bestFit="1" customWidth="1"/>
    <col min="4090" max="4090" width="18.109375" customWidth="1"/>
    <col min="4091" max="4091" width="15.109375" bestFit="1" customWidth="1"/>
    <col min="4092" max="4092" width="16.77734375" bestFit="1" customWidth="1"/>
    <col min="4093" max="4093" width="13" bestFit="1" customWidth="1"/>
    <col min="4094" max="4094" width="11.6640625" bestFit="1" customWidth="1"/>
    <col min="4095" max="4095" width="11.88671875" customWidth="1"/>
    <col min="4096" max="4096" width="8.77734375" bestFit="1" customWidth="1"/>
    <col min="4099" max="4099" width="13.44140625" customWidth="1"/>
    <col min="4100" max="4100" width="10.77734375" customWidth="1"/>
    <col min="4345" max="4345" width="23.88671875" bestFit="1" customWidth="1"/>
    <col min="4346" max="4346" width="18.109375" customWidth="1"/>
    <col min="4347" max="4347" width="15.109375" bestFit="1" customWidth="1"/>
    <col min="4348" max="4348" width="16.77734375" bestFit="1" customWidth="1"/>
    <col min="4349" max="4349" width="13" bestFit="1" customWidth="1"/>
    <col min="4350" max="4350" width="11.6640625" bestFit="1" customWidth="1"/>
    <col min="4351" max="4351" width="11.88671875" customWidth="1"/>
    <col min="4352" max="4352" width="8.77734375" bestFit="1" customWidth="1"/>
    <col min="4355" max="4355" width="13.44140625" customWidth="1"/>
    <col min="4356" max="4356" width="10.77734375" customWidth="1"/>
    <col min="4601" max="4601" width="23.88671875" bestFit="1" customWidth="1"/>
    <col min="4602" max="4602" width="18.109375" customWidth="1"/>
    <col min="4603" max="4603" width="15.109375" bestFit="1" customWidth="1"/>
    <col min="4604" max="4604" width="16.77734375" bestFit="1" customWidth="1"/>
    <col min="4605" max="4605" width="13" bestFit="1" customWidth="1"/>
    <col min="4606" max="4606" width="11.6640625" bestFit="1" customWidth="1"/>
    <col min="4607" max="4607" width="11.88671875" customWidth="1"/>
    <col min="4608" max="4608" width="8.77734375" bestFit="1" customWidth="1"/>
    <col min="4611" max="4611" width="13.44140625" customWidth="1"/>
    <col min="4612" max="4612" width="10.77734375" customWidth="1"/>
    <col min="4857" max="4857" width="23.88671875" bestFit="1" customWidth="1"/>
    <col min="4858" max="4858" width="18.109375" customWidth="1"/>
    <col min="4859" max="4859" width="15.109375" bestFit="1" customWidth="1"/>
    <col min="4860" max="4860" width="16.77734375" bestFit="1" customWidth="1"/>
    <col min="4861" max="4861" width="13" bestFit="1" customWidth="1"/>
    <col min="4862" max="4862" width="11.6640625" bestFit="1" customWidth="1"/>
    <col min="4863" max="4863" width="11.88671875" customWidth="1"/>
    <col min="4864" max="4864" width="8.77734375" bestFit="1" customWidth="1"/>
    <col min="4867" max="4867" width="13.44140625" customWidth="1"/>
    <col min="4868" max="4868" width="10.77734375" customWidth="1"/>
    <col min="5113" max="5113" width="23.88671875" bestFit="1" customWidth="1"/>
    <col min="5114" max="5114" width="18.109375" customWidth="1"/>
    <col min="5115" max="5115" width="15.109375" bestFit="1" customWidth="1"/>
    <col min="5116" max="5116" width="16.77734375" bestFit="1" customWidth="1"/>
    <col min="5117" max="5117" width="13" bestFit="1" customWidth="1"/>
    <col min="5118" max="5118" width="11.6640625" bestFit="1" customWidth="1"/>
    <col min="5119" max="5119" width="11.88671875" customWidth="1"/>
    <col min="5120" max="5120" width="8.77734375" bestFit="1" customWidth="1"/>
    <col min="5123" max="5123" width="13.44140625" customWidth="1"/>
    <col min="5124" max="5124" width="10.77734375" customWidth="1"/>
    <col min="5369" max="5369" width="23.88671875" bestFit="1" customWidth="1"/>
    <col min="5370" max="5370" width="18.109375" customWidth="1"/>
    <col min="5371" max="5371" width="15.109375" bestFit="1" customWidth="1"/>
    <col min="5372" max="5372" width="16.77734375" bestFit="1" customWidth="1"/>
    <col min="5373" max="5373" width="13" bestFit="1" customWidth="1"/>
    <col min="5374" max="5374" width="11.6640625" bestFit="1" customWidth="1"/>
    <col min="5375" max="5375" width="11.88671875" customWidth="1"/>
    <col min="5376" max="5376" width="8.77734375" bestFit="1" customWidth="1"/>
    <col min="5379" max="5379" width="13.44140625" customWidth="1"/>
    <col min="5380" max="5380" width="10.77734375" customWidth="1"/>
    <col min="5625" max="5625" width="23.88671875" bestFit="1" customWidth="1"/>
    <col min="5626" max="5626" width="18.109375" customWidth="1"/>
    <col min="5627" max="5627" width="15.109375" bestFit="1" customWidth="1"/>
    <col min="5628" max="5628" width="16.77734375" bestFit="1" customWidth="1"/>
    <col min="5629" max="5629" width="13" bestFit="1" customWidth="1"/>
    <col min="5630" max="5630" width="11.6640625" bestFit="1" customWidth="1"/>
    <col min="5631" max="5631" width="11.88671875" customWidth="1"/>
    <col min="5632" max="5632" width="8.77734375" bestFit="1" customWidth="1"/>
    <col min="5635" max="5635" width="13.44140625" customWidth="1"/>
    <col min="5636" max="5636" width="10.77734375" customWidth="1"/>
    <col min="5881" max="5881" width="23.88671875" bestFit="1" customWidth="1"/>
    <col min="5882" max="5882" width="18.109375" customWidth="1"/>
    <col min="5883" max="5883" width="15.109375" bestFit="1" customWidth="1"/>
    <col min="5884" max="5884" width="16.77734375" bestFit="1" customWidth="1"/>
    <col min="5885" max="5885" width="13" bestFit="1" customWidth="1"/>
    <col min="5886" max="5886" width="11.6640625" bestFit="1" customWidth="1"/>
    <col min="5887" max="5887" width="11.88671875" customWidth="1"/>
    <col min="5888" max="5888" width="8.77734375" bestFit="1" customWidth="1"/>
    <col min="5891" max="5891" width="13.44140625" customWidth="1"/>
    <col min="5892" max="5892" width="10.77734375" customWidth="1"/>
    <col min="6137" max="6137" width="23.88671875" bestFit="1" customWidth="1"/>
    <col min="6138" max="6138" width="18.109375" customWidth="1"/>
    <col min="6139" max="6139" width="15.109375" bestFit="1" customWidth="1"/>
    <col min="6140" max="6140" width="16.77734375" bestFit="1" customWidth="1"/>
    <col min="6141" max="6141" width="13" bestFit="1" customWidth="1"/>
    <col min="6142" max="6142" width="11.6640625" bestFit="1" customWidth="1"/>
    <col min="6143" max="6143" width="11.88671875" customWidth="1"/>
    <col min="6144" max="6144" width="8.77734375" bestFit="1" customWidth="1"/>
    <col min="6147" max="6147" width="13.44140625" customWidth="1"/>
    <col min="6148" max="6148" width="10.77734375" customWidth="1"/>
    <col min="6393" max="6393" width="23.88671875" bestFit="1" customWidth="1"/>
    <col min="6394" max="6394" width="18.109375" customWidth="1"/>
    <col min="6395" max="6395" width="15.109375" bestFit="1" customWidth="1"/>
    <col min="6396" max="6396" width="16.77734375" bestFit="1" customWidth="1"/>
    <col min="6397" max="6397" width="13" bestFit="1" customWidth="1"/>
    <col min="6398" max="6398" width="11.6640625" bestFit="1" customWidth="1"/>
    <col min="6399" max="6399" width="11.88671875" customWidth="1"/>
    <col min="6400" max="6400" width="8.77734375" bestFit="1" customWidth="1"/>
    <col min="6403" max="6403" width="13.44140625" customWidth="1"/>
    <col min="6404" max="6404" width="10.77734375" customWidth="1"/>
    <col min="6649" max="6649" width="23.88671875" bestFit="1" customWidth="1"/>
    <col min="6650" max="6650" width="18.109375" customWidth="1"/>
    <col min="6651" max="6651" width="15.109375" bestFit="1" customWidth="1"/>
    <col min="6652" max="6652" width="16.77734375" bestFit="1" customWidth="1"/>
    <col min="6653" max="6653" width="13" bestFit="1" customWidth="1"/>
    <col min="6654" max="6654" width="11.6640625" bestFit="1" customWidth="1"/>
    <col min="6655" max="6655" width="11.88671875" customWidth="1"/>
    <col min="6656" max="6656" width="8.77734375" bestFit="1" customWidth="1"/>
    <col min="6659" max="6659" width="13.44140625" customWidth="1"/>
    <col min="6660" max="6660" width="10.77734375" customWidth="1"/>
    <col min="6905" max="6905" width="23.88671875" bestFit="1" customWidth="1"/>
    <col min="6906" max="6906" width="18.109375" customWidth="1"/>
    <col min="6907" max="6907" width="15.109375" bestFit="1" customWidth="1"/>
    <col min="6908" max="6908" width="16.77734375" bestFit="1" customWidth="1"/>
    <col min="6909" max="6909" width="13" bestFit="1" customWidth="1"/>
    <col min="6910" max="6910" width="11.6640625" bestFit="1" customWidth="1"/>
    <col min="6911" max="6911" width="11.88671875" customWidth="1"/>
    <col min="6912" max="6912" width="8.77734375" bestFit="1" customWidth="1"/>
    <col min="6915" max="6915" width="13.44140625" customWidth="1"/>
    <col min="6916" max="6916" width="10.77734375" customWidth="1"/>
    <col min="7161" max="7161" width="23.88671875" bestFit="1" customWidth="1"/>
    <col min="7162" max="7162" width="18.109375" customWidth="1"/>
    <col min="7163" max="7163" width="15.109375" bestFit="1" customWidth="1"/>
    <col min="7164" max="7164" width="16.77734375" bestFit="1" customWidth="1"/>
    <col min="7165" max="7165" width="13" bestFit="1" customWidth="1"/>
    <col min="7166" max="7166" width="11.6640625" bestFit="1" customWidth="1"/>
    <col min="7167" max="7167" width="11.88671875" customWidth="1"/>
    <col min="7168" max="7168" width="8.77734375" bestFit="1" customWidth="1"/>
    <col min="7171" max="7171" width="13.44140625" customWidth="1"/>
    <col min="7172" max="7172" width="10.77734375" customWidth="1"/>
    <col min="7417" max="7417" width="23.88671875" bestFit="1" customWidth="1"/>
    <col min="7418" max="7418" width="18.109375" customWidth="1"/>
    <col min="7419" max="7419" width="15.109375" bestFit="1" customWidth="1"/>
    <col min="7420" max="7420" width="16.77734375" bestFit="1" customWidth="1"/>
    <col min="7421" max="7421" width="13" bestFit="1" customWidth="1"/>
    <col min="7422" max="7422" width="11.6640625" bestFit="1" customWidth="1"/>
    <col min="7423" max="7423" width="11.88671875" customWidth="1"/>
    <col min="7424" max="7424" width="8.77734375" bestFit="1" customWidth="1"/>
    <col min="7427" max="7427" width="13.44140625" customWidth="1"/>
    <col min="7428" max="7428" width="10.77734375" customWidth="1"/>
    <col min="7673" max="7673" width="23.88671875" bestFit="1" customWidth="1"/>
    <col min="7674" max="7674" width="18.109375" customWidth="1"/>
    <col min="7675" max="7675" width="15.109375" bestFit="1" customWidth="1"/>
    <col min="7676" max="7676" width="16.77734375" bestFit="1" customWidth="1"/>
    <col min="7677" max="7677" width="13" bestFit="1" customWidth="1"/>
    <col min="7678" max="7678" width="11.6640625" bestFit="1" customWidth="1"/>
    <col min="7679" max="7679" width="11.88671875" customWidth="1"/>
    <col min="7680" max="7680" width="8.77734375" bestFit="1" customWidth="1"/>
    <col min="7683" max="7683" width="13.44140625" customWidth="1"/>
    <col min="7684" max="7684" width="10.77734375" customWidth="1"/>
    <col min="7929" max="7929" width="23.88671875" bestFit="1" customWidth="1"/>
    <col min="7930" max="7930" width="18.109375" customWidth="1"/>
    <col min="7931" max="7931" width="15.109375" bestFit="1" customWidth="1"/>
    <col min="7932" max="7932" width="16.77734375" bestFit="1" customWidth="1"/>
    <col min="7933" max="7933" width="13" bestFit="1" customWidth="1"/>
    <col min="7934" max="7934" width="11.6640625" bestFit="1" customWidth="1"/>
    <col min="7935" max="7935" width="11.88671875" customWidth="1"/>
    <col min="7936" max="7936" width="8.77734375" bestFit="1" customWidth="1"/>
    <col min="7939" max="7939" width="13.44140625" customWidth="1"/>
    <col min="7940" max="7940" width="10.77734375" customWidth="1"/>
    <col min="8185" max="8185" width="23.88671875" bestFit="1" customWidth="1"/>
    <col min="8186" max="8186" width="18.109375" customWidth="1"/>
    <col min="8187" max="8187" width="15.109375" bestFit="1" customWidth="1"/>
    <col min="8188" max="8188" width="16.77734375" bestFit="1" customWidth="1"/>
    <col min="8189" max="8189" width="13" bestFit="1" customWidth="1"/>
    <col min="8190" max="8190" width="11.6640625" bestFit="1" customWidth="1"/>
    <col min="8191" max="8191" width="11.88671875" customWidth="1"/>
    <col min="8192" max="8192" width="8.77734375" bestFit="1" customWidth="1"/>
    <col min="8195" max="8195" width="13.44140625" customWidth="1"/>
    <col min="8196" max="8196" width="10.77734375" customWidth="1"/>
    <col min="8441" max="8441" width="23.88671875" bestFit="1" customWidth="1"/>
    <col min="8442" max="8442" width="18.109375" customWidth="1"/>
    <col min="8443" max="8443" width="15.109375" bestFit="1" customWidth="1"/>
    <col min="8444" max="8444" width="16.77734375" bestFit="1" customWidth="1"/>
    <col min="8445" max="8445" width="13" bestFit="1" customWidth="1"/>
    <col min="8446" max="8446" width="11.6640625" bestFit="1" customWidth="1"/>
    <col min="8447" max="8447" width="11.88671875" customWidth="1"/>
    <col min="8448" max="8448" width="8.77734375" bestFit="1" customWidth="1"/>
    <col min="8451" max="8451" width="13.44140625" customWidth="1"/>
    <col min="8452" max="8452" width="10.77734375" customWidth="1"/>
    <col min="8697" max="8697" width="23.88671875" bestFit="1" customWidth="1"/>
    <col min="8698" max="8698" width="18.109375" customWidth="1"/>
    <col min="8699" max="8699" width="15.109375" bestFit="1" customWidth="1"/>
    <col min="8700" max="8700" width="16.77734375" bestFit="1" customWidth="1"/>
    <col min="8701" max="8701" width="13" bestFit="1" customWidth="1"/>
    <col min="8702" max="8702" width="11.6640625" bestFit="1" customWidth="1"/>
    <col min="8703" max="8703" width="11.88671875" customWidth="1"/>
    <col min="8704" max="8704" width="8.77734375" bestFit="1" customWidth="1"/>
    <col min="8707" max="8707" width="13.44140625" customWidth="1"/>
    <col min="8708" max="8708" width="10.77734375" customWidth="1"/>
    <col min="8953" max="8953" width="23.88671875" bestFit="1" customWidth="1"/>
    <col min="8954" max="8954" width="18.109375" customWidth="1"/>
    <col min="8955" max="8955" width="15.109375" bestFit="1" customWidth="1"/>
    <col min="8956" max="8956" width="16.77734375" bestFit="1" customWidth="1"/>
    <col min="8957" max="8957" width="13" bestFit="1" customWidth="1"/>
    <col min="8958" max="8958" width="11.6640625" bestFit="1" customWidth="1"/>
    <col min="8959" max="8959" width="11.88671875" customWidth="1"/>
    <col min="8960" max="8960" width="8.77734375" bestFit="1" customWidth="1"/>
    <col min="8963" max="8963" width="13.44140625" customWidth="1"/>
    <col min="8964" max="8964" width="10.77734375" customWidth="1"/>
    <col min="9209" max="9209" width="23.88671875" bestFit="1" customWidth="1"/>
    <col min="9210" max="9210" width="18.109375" customWidth="1"/>
    <col min="9211" max="9211" width="15.109375" bestFit="1" customWidth="1"/>
    <col min="9212" max="9212" width="16.77734375" bestFit="1" customWidth="1"/>
    <col min="9213" max="9213" width="13" bestFit="1" customWidth="1"/>
    <col min="9214" max="9214" width="11.6640625" bestFit="1" customWidth="1"/>
    <col min="9215" max="9215" width="11.88671875" customWidth="1"/>
    <col min="9216" max="9216" width="8.77734375" bestFit="1" customWidth="1"/>
    <col min="9219" max="9219" width="13.44140625" customWidth="1"/>
    <col min="9220" max="9220" width="10.77734375" customWidth="1"/>
    <col min="9465" max="9465" width="23.88671875" bestFit="1" customWidth="1"/>
    <col min="9466" max="9466" width="18.109375" customWidth="1"/>
    <col min="9467" max="9467" width="15.109375" bestFit="1" customWidth="1"/>
    <col min="9468" max="9468" width="16.77734375" bestFit="1" customWidth="1"/>
    <col min="9469" max="9469" width="13" bestFit="1" customWidth="1"/>
    <col min="9470" max="9470" width="11.6640625" bestFit="1" customWidth="1"/>
    <col min="9471" max="9471" width="11.88671875" customWidth="1"/>
    <col min="9472" max="9472" width="8.77734375" bestFit="1" customWidth="1"/>
    <col min="9475" max="9475" width="13.44140625" customWidth="1"/>
    <col min="9476" max="9476" width="10.77734375" customWidth="1"/>
    <col min="9721" max="9721" width="23.88671875" bestFit="1" customWidth="1"/>
    <col min="9722" max="9722" width="18.109375" customWidth="1"/>
    <col min="9723" max="9723" width="15.109375" bestFit="1" customWidth="1"/>
    <col min="9724" max="9724" width="16.77734375" bestFit="1" customWidth="1"/>
    <col min="9725" max="9725" width="13" bestFit="1" customWidth="1"/>
    <col min="9726" max="9726" width="11.6640625" bestFit="1" customWidth="1"/>
    <col min="9727" max="9727" width="11.88671875" customWidth="1"/>
    <col min="9728" max="9728" width="8.77734375" bestFit="1" customWidth="1"/>
    <col min="9731" max="9731" width="13.44140625" customWidth="1"/>
    <col min="9732" max="9732" width="10.77734375" customWidth="1"/>
    <col min="9977" max="9977" width="23.88671875" bestFit="1" customWidth="1"/>
    <col min="9978" max="9978" width="18.109375" customWidth="1"/>
    <col min="9979" max="9979" width="15.109375" bestFit="1" customWidth="1"/>
    <col min="9980" max="9980" width="16.77734375" bestFit="1" customWidth="1"/>
    <col min="9981" max="9981" width="13" bestFit="1" customWidth="1"/>
    <col min="9982" max="9982" width="11.6640625" bestFit="1" customWidth="1"/>
    <col min="9983" max="9983" width="11.88671875" customWidth="1"/>
    <col min="9984" max="9984" width="8.77734375" bestFit="1" customWidth="1"/>
    <col min="9987" max="9987" width="13.44140625" customWidth="1"/>
    <col min="9988" max="9988" width="10.77734375" customWidth="1"/>
    <col min="10233" max="10233" width="23.88671875" bestFit="1" customWidth="1"/>
    <col min="10234" max="10234" width="18.109375" customWidth="1"/>
    <col min="10235" max="10235" width="15.109375" bestFit="1" customWidth="1"/>
    <col min="10236" max="10236" width="16.77734375" bestFit="1" customWidth="1"/>
    <col min="10237" max="10237" width="13" bestFit="1" customWidth="1"/>
    <col min="10238" max="10238" width="11.6640625" bestFit="1" customWidth="1"/>
    <col min="10239" max="10239" width="11.88671875" customWidth="1"/>
    <col min="10240" max="10240" width="8.77734375" bestFit="1" customWidth="1"/>
    <col min="10243" max="10243" width="13.44140625" customWidth="1"/>
    <col min="10244" max="10244" width="10.77734375" customWidth="1"/>
    <col min="10489" max="10489" width="23.88671875" bestFit="1" customWidth="1"/>
    <col min="10490" max="10490" width="18.109375" customWidth="1"/>
    <col min="10491" max="10491" width="15.109375" bestFit="1" customWidth="1"/>
    <col min="10492" max="10492" width="16.77734375" bestFit="1" customWidth="1"/>
    <col min="10493" max="10493" width="13" bestFit="1" customWidth="1"/>
    <col min="10494" max="10494" width="11.6640625" bestFit="1" customWidth="1"/>
    <col min="10495" max="10495" width="11.88671875" customWidth="1"/>
    <col min="10496" max="10496" width="8.77734375" bestFit="1" customWidth="1"/>
    <col min="10499" max="10499" width="13.44140625" customWidth="1"/>
    <col min="10500" max="10500" width="10.77734375" customWidth="1"/>
    <col min="10745" max="10745" width="23.88671875" bestFit="1" customWidth="1"/>
    <col min="10746" max="10746" width="18.109375" customWidth="1"/>
    <col min="10747" max="10747" width="15.109375" bestFit="1" customWidth="1"/>
    <col min="10748" max="10748" width="16.77734375" bestFit="1" customWidth="1"/>
    <col min="10749" max="10749" width="13" bestFit="1" customWidth="1"/>
    <col min="10750" max="10750" width="11.6640625" bestFit="1" customWidth="1"/>
    <col min="10751" max="10751" width="11.88671875" customWidth="1"/>
    <col min="10752" max="10752" width="8.77734375" bestFit="1" customWidth="1"/>
    <col min="10755" max="10755" width="13.44140625" customWidth="1"/>
    <col min="10756" max="10756" width="10.77734375" customWidth="1"/>
    <col min="11001" max="11001" width="23.88671875" bestFit="1" customWidth="1"/>
    <col min="11002" max="11002" width="18.109375" customWidth="1"/>
    <col min="11003" max="11003" width="15.109375" bestFit="1" customWidth="1"/>
    <col min="11004" max="11004" width="16.77734375" bestFit="1" customWidth="1"/>
    <col min="11005" max="11005" width="13" bestFit="1" customWidth="1"/>
    <col min="11006" max="11006" width="11.6640625" bestFit="1" customWidth="1"/>
    <col min="11007" max="11007" width="11.88671875" customWidth="1"/>
    <col min="11008" max="11008" width="8.77734375" bestFit="1" customWidth="1"/>
    <col min="11011" max="11011" width="13.44140625" customWidth="1"/>
    <col min="11012" max="11012" width="10.77734375" customWidth="1"/>
    <col min="11257" max="11257" width="23.88671875" bestFit="1" customWidth="1"/>
    <col min="11258" max="11258" width="18.109375" customWidth="1"/>
    <col min="11259" max="11259" width="15.109375" bestFit="1" customWidth="1"/>
    <col min="11260" max="11260" width="16.77734375" bestFit="1" customWidth="1"/>
    <col min="11261" max="11261" width="13" bestFit="1" customWidth="1"/>
    <col min="11262" max="11262" width="11.6640625" bestFit="1" customWidth="1"/>
    <col min="11263" max="11263" width="11.88671875" customWidth="1"/>
    <col min="11264" max="11264" width="8.77734375" bestFit="1" customWidth="1"/>
    <col min="11267" max="11267" width="13.44140625" customWidth="1"/>
    <col min="11268" max="11268" width="10.77734375" customWidth="1"/>
    <col min="11513" max="11513" width="23.88671875" bestFit="1" customWidth="1"/>
    <col min="11514" max="11514" width="18.109375" customWidth="1"/>
    <col min="11515" max="11515" width="15.109375" bestFit="1" customWidth="1"/>
    <col min="11516" max="11516" width="16.77734375" bestFit="1" customWidth="1"/>
    <col min="11517" max="11517" width="13" bestFit="1" customWidth="1"/>
    <col min="11518" max="11518" width="11.6640625" bestFit="1" customWidth="1"/>
    <col min="11519" max="11519" width="11.88671875" customWidth="1"/>
    <col min="11520" max="11520" width="8.77734375" bestFit="1" customWidth="1"/>
    <col min="11523" max="11523" width="13.44140625" customWidth="1"/>
    <col min="11524" max="11524" width="10.77734375" customWidth="1"/>
    <col min="11769" max="11769" width="23.88671875" bestFit="1" customWidth="1"/>
    <col min="11770" max="11770" width="18.109375" customWidth="1"/>
    <col min="11771" max="11771" width="15.109375" bestFit="1" customWidth="1"/>
    <col min="11772" max="11772" width="16.77734375" bestFit="1" customWidth="1"/>
    <col min="11773" max="11773" width="13" bestFit="1" customWidth="1"/>
    <col min="11774" max="11774" width="11.6640625" bestFit="1" customWidth="1"/>
    <col min="11775" max="11775" width="11.88671875" customWidth="1"/>
    <col min="11776" max="11776" width="8.77734375" bestFit="1" customWidth="1"/>
    <col min="11779" max="11779" width="13.44140625" customWidth="1"/>
    <col min="11780" max="11780" width="10.77734375" customWidth="1"/>
    <col min="12025" max="12025" width="23.88671875" bestFit="1" customWidth="1"/>
    <col min="12026" max="12026" width="18.109375" customWidth="1"/>
    <col min="12027" max="12027" width="15.109375" bestFit="1" customWidth="1"/>
    <col min="12028" max="12028" width="16.77734375" bestFit="1" customWidth="1"/>
    <col min="12029" max="12029" width="13" bestFit="1" customWidth="1"/>
    <col min="12030" max="12030" width="11.6640625" bestFit="1" customWidth="1"/>
    <col min="12031" max="12031" width="11.88671875" customWidth="1"/>
    <col min="12032" max="12032" width="8.77734375" bestFit="1" customWidth="1"/>
    <col min="12035" max="12035" width="13.44140625" customWidth="1"/>
    <col min="12036" max="12036" width="10.77734375" customWidth="1"/>
    <col min="12281" max="12281" width="23.88671875" bestFit="1" customWidth="1"/>
    <col min="12282" max="12282" width="18.109375" customWidth="1"/>
    <col min="12283" max="12283" width="15.109375" bestFit="1" customWidth="1"/>
    <col min="12284" max="12284" width="16.77734375" bestFit="1" customWidth="1"/>
    <col min="12285" max="12285" width="13" bestFit="1" customWidth="1"/>
    <col min="12286" max="12286" width="11.6640625" bestFit="1" customWidth="1"/>
    <col min="12287" max="12287" width="11.88671875" customWidth="1"/>
    <col min="12288" max="12288" width="8.77734375" bestFit="1" customWidth="1"/>
    <col min="12291" max="12291" width="13.44140625" customWidth="1"/>
    <col min="12292" max="12292" width="10.77734375" customWidth="1"/>
    <col min="12537" max="12537" width="23.88671875" bestFit="1" customWidth="1"/>
    <col min="12538" max="12538" width="18.109375" customWidth="1"/>
    <col min="12539" max="12539" width="15.109375" bestFit="1" customWidth="1"/>
    <col min="12540" max="12540" width="16.77734375" bestFit="1" customWidth="1"/>
    <col min="12541" max="12541" width="13" bestFit="1" customWidth="1"/>
    <col min="12542" max="12542" width="11.6640625" bestFit="1" customWidth="1"/>
    <col min="12543" max="12543" width="11.88671875" customWidth="1"/>
    <col min="12544" max="12544" width="8.77734375" bestFit="1" customWidth="1"/>
    <col min="12547" max="12547" width="13.44140625" customWidth="1"/>
    <col min="12548" max="12548" width="10.77734375" customWidth="1"/>
    <col min="12793" max="12793" width="23.88671875" bestFit="1" customWidth="1"/>
    <col min="12794" max="12794" width="18.109375" customWidth="1"/>
    <col min="12795" max="12795" width="15.109375" bestFit="1" customWidth="1"/>
    <col min="12796" max="12796" width="16.77734375" bestFit="1" customWidth="1"/>
    <col min="12797" max="12797" width="13" bestFit="1" customWidth="1"/>
    <col min="12798" max="12798" width="11.6640625" bestFit="1" customWidth="1"/>
    <col min="12799" max="12799" width="11.88671875" customWidth="1"/>
    <col min="12800" max="12800" width="8.77734375" bestFit="1" customWidth="1"/>
    <col min="12803" max="12803" width="13.44140625" customWidth="1"/>
    <col min="12804" max="12804" width="10.77734375" customWidth="1"/>
    <col min="13049" max="13049" width="23.88671875" bestFit="1" customWidth="1"/>
    <col min="13050" max="13050" width="18.109375" customWidth="1"/>
    <col min="13051" max="13051" width="15.109375" bestFit="1" customWidth="1"/>
    <col min="13052" max="13052" width="16.77734375" bestFit="1" customWidth="1"/>
    <col min="13053" max="13053" width="13" bestFit="1" customWidth="1"/>
    <col min="13054" max="13054" width="11.6640625" bestFit="1" customWidth="1"/>
    <col min="13055" max="13055" width="11.88671875" customWidth="1"/>
    <col min="13056" max="13056" width="8.77734375" bestFit="1" customWidth="1"/>
    <col min="13059" max="13059" width="13.44140625" customWidth="1"/>
    <col min="13060" max="13060" width="10.77734375" customWidth="1"/>
    <col min="13305" max="13305" width="23.88671875" bestFit="1" customWidth="1"/>
    <col min="13306" max="13306" width="18.109375" customWidth="1"/>
    <col min="13307" max="13307" width="15.109375" bestFit="1" customWidth="1"/>
    <col min="13308" max="13308" width="16.77734375" bestFit="1" customWidth="1"/>
    <col min="13309" max="13309" width="13" bestFit="1" customWidth="1"/>
    <col min="13310" max="13310" width="11.6640625" bestFit="1" customWidth="1"/>
    <col min="13311" max="13311" width="11.88671875" customWidth="1"/>
    <col min="13312" max="13312" width="8.77734375" bestFit="1" customWidth="1"/>
    <col min="13315" max="13315" width="13.44140625" customWidth="1"/>
    <col min="13316" max="13316" width="10.77734375" customWidth="1"/>
    <col min="13561" max="13561" width="23.88671875" bestFit="1" customWidth="1"/>
    <col min="13562" max="13562" width="18.109375" customWidth="1"/>
    <col min="13563" max="13563" width="15.109375" bestFit="1" customWidth="1"/>
    <col min="13564" max="13564" width="16.77734375" bestFit="1" customWidth="1"/>
    <col min="13565" max="13565" width="13" bestFit="1" customWidth="1"/>
    <col min="13566" max="13566" width="11.6640625" bestFit="1" customWidth="1"/>
    <col min="13567" max="13567" width="11.88671875" customWidth="1"/>
    <col min="13568" max="13568" width="8.77734375" bestFit="1" customWidth="1"/>
    <col min="13571" max="13571" width="13.44140625" customWidth="1"/>
    <col min="13572" max="13572" width="10.77734375" customWidth="1"/>
    <col min="13817" max="13817" width="23.88671875" bestFit="1" customWidth="1"/>
    <col min="13818" max="13818" width="18.109375" customWidth="1"/>
    <col min="13819" max="13819" width="15.109375" bestFit="1" customWidth="1"/>
    <col min="13820" max="13820" width="16.77734375" bestFit="1" customWidth="1"/>
    <col min="13821" max="13821" width="13" bestFit="1" customWidth="1"/>
    <col min="13822" max="13822" width="11.6640625" bestFit="1" customWidth="1"/>
    <col min="13823" max="13823" width="11.88671875" customWidth="1"/>
    <col min="13824" max="13824" width="8.77734375" bestFit="1" customWidth="1"/>
    <col min="13827" max="13827" width="13.44140625" customWidth="1"/>
    <col min="13828" max="13828" width="10.77734375" customWidth="1"/>
    <col min="14073" max="14073" width="23.88671875" bestFit="1" customWidth="1"/>
    <col min="14074" max="14074" width="18.109375" customWidth="1"/>
    <col min="14075" max="14075" width="15.109375" bestFit="1" customWidth="1"/>
    <col min="14076" max="14076" width="16.77734375" bestFit="1" customWidth="1"/>
    <col min="14077" max="14077" width="13" bestFit="1" customWidth="1"/>
    <col min="14078" max="14078" width="11.6640625" bestFit="1" customWidth="1"/>
    <col min="14079" max="14079" width="11.88671875" customWidth="1"/>
    <col min="14080" max="14080" width="8.77734375" bestFit="1" customWidth="1"/>
    <col min="14083" max="14083" width="13.44140625" customWidth="1"/>
    <col min="14084" max="14084" width="10.77734375" customWidth="1"/>
    <col min="14329" max="14329" width="23.88671875" bestFit="1" customWidth="1"/>
    <col min="14330" max="14330" width="18.109375" customWidth="1"/>
    <col min="14331" max="14331" width="15.109375" bestFit="1" customWidth="1"/>
    <col min="14332" max="14332" width="16.77734375" bestFit="1" customWidth="1"/>
    <col min="14333" max="14333" width="13" bestFit="1" customWidth="1"/>
    <col min="14334" max="14334" width="11.6640625" bestFit="1" customWidth="1"/>
    <col min="14335" max="14335" width="11.88671875" customWidth="1"/>
    <col min="14336" max="14336" width="8.77734375" bestFit="1" customWidth="1"/>
    <col min="14339" max="14339" width="13.44140625" customWidth="1"/>
    <col min="14340" max="14340" width="10.77734375" customWidth="1"/>
    <col min="14585" max="14585" width="23.88671875" bestFit="1" customWidth="1"/>
    <col min="14586" max="14586" width="18.109375" customWidth="1"/>
    <col min="14587" max="14587" width="15.109375" bestFit="1" customWidth="1"/>
    <col min="14588" max="14588" width="16.77734375" bestFit="1" customWidth="1"/>
    <col min="14589" max="14589" width="13" bestFit="1" customWidth="1"/>
    <col min="14590" max="14590" width="11.6640625" bestFit="1" customWidth="1"/>
    <col min="14591" max="14591" width="11.88671875" customWidth="1"/>
    <col min="14592" max="14592" width="8.77734375" bestFit="1" customWidth="1"/>
    <col min="14595" max="14595" width="13.44140625" customWidth="1"/>
    <col min="14596" max="14596" width="10.77734375" customWidth="1"/>
    <col min="14841" max="14841" width="23.88671875" bestFit="1" customWidth="1"/>
    <col min="14842" max="14842" width="18.109375" customWidth="1"/>
    <col min="14843" max="14843" width="15.109375" bestFit="1" customWidth="1"/>
    <col min="14844" max="14844" width="16.77734375" bestFit="1" customWidth="1"/>
    <col min="14845" max="14845" width="13" bestFit="1" customWidth="1"/>
    <col min="14846" max="14846" width="11.6640625" bestFit="1" customWidth="1"/>
    <col min="14847" max="14847" width="11.88671875" customWidth="1"/>
    <col min="14848" max="14848" width="8.77734375" bestFit="1" customWidth="1"/>
    <col min="14851" max="14851" width="13.44140625" customWidth="1"/>
    <col min="14852" max="14852" width="10.77734375" customWidth="1"/>
    <col min="15097" max="15097" width="23.88671875" bestFit="1" customWidth="1"/>
    <col min="15098" max="15098" width="18.109375" customWidth="1"/>
    <col min="15099" max="15099" width="15.109375" bestFit="1" customWidth="1"/>
    <col min="15100" max="15100" width="16.77734375" bestFit="1" customWidth="1"/>
    <col min="15101" max="15101" width="13" bestFit="1" customWidth="1"/>
    <col min="15102" max="15102" width="11.6640625" bestFit="1" customWidth="1"/>
    <col min="15103" max="15103" width="11.88671875" customWidth="1"/>
    <col min="15104" max="15104" width="8.77734375" bestFit="1" customWidth="1"/>
    <col min="15107" max="15107" width="13.44140625" customWidth="1"/>
    <col min="15108" max="15108" width="10.77734375" customWidth="1"/>
    <col min="15353" max="15353" width="23.88671875" bestFit="1" customWidth="1"/>
    <col min="15354" max="15354" width="18.109375" customWidth="1"/>
    <col min="15355" max="15355" width="15.109375" bestFit="1" customWidth="1"/>
    <col min="15356" max="15356" width="16.77734375" bestFit="1" customWidth="1"/>
    <col min="15357" max="15357" width="13" bestFit="1" customWidth="1"/>
    <col min="15358" max="15358" width="11.6640625" bestFit="1" customWidth="1"/>
    <col min="15359" max="15359" width="11.88671875" customWidth="1"/>
    <col min="15360" max="15360" width="8.77734375" bestFit="1" customWidth="1"/>
    <col min="15363" max="15363" width="13.44140625" customWidth="1"/>
    <col min="15364" max="15364" width="10.77734375" customWidth="1"/>
    <col min="15609" max="15609" width="23.88671875" bestFit="1" customWidth="1"/>
    <col min="15610" max="15610" width="18.109375" customWidth="1"/>
    <col min="15611" max="15611" width="15.109375" bestFit="1" customWidth="1"/>
    <col min="15612" max="15612" width="16.77734375" bestFit="1" customWidth="1"/>
    <col min="15613" max="15613" width="13" bestFit="1" customWidth="1"/>
    <col min="15614" max="15614" width="11.6640625" bestFit="1" customWidth="1"/>
    <col min="15615" max="15615" width="11.88671875" customWidth="1"/>
    <col min="15616" max="15616" width="8.77734375" bestFit="1" customWidth="1"/>
    <col min="15619" max="15619" width="13.44140625" customWidth="1"/>
    <col min="15620" max="15620" width="10.77734375" customWidth="1"/>
    <col min="15865" max="15865" width="23.88671875" bestFit="1" customWidth="1"/>
    <col min="15866" max="15866" width="18.109375" customWidth="1"/>
    <col min="15867" max="15867" width="15.109375" bestFit="1" customWidth="1"/>
    <col min="15868" max="15868" width="16.77734375" bestFit="1" customWidth="1"/>
    <col min="15869" max="15869" width="13" bestFit="1" customWidth="1"/>
    <col min="15870" max="15870" width="11.6640625" bestFit="1" customWidth="1"/>
    <col min="15871" max="15871" width="11.88671875" customWidth="1"/>
    <col min="15872" max="15872" width="8.77734375" bestFit="1" customWidth="1"/>
    <col min="15875" max="15875" width="13.44140625" customWidth="1"/>
    <col min="15876" max="15876" width="10.77734375" customWidth="1"/>
    <col min="16121" max="16121" width="23.88671875" bestFit="1" customWidth="1"/>
    <col min="16122" max="16122" width="18.109375" customWidth="1"/>
    <col min="16123" max="16123" width="15.109375" bestFit="1" customWidth="1"/>
    <col min="16124" max="16124" width="16.77734375" bestFit="1" customWidth="1"/>
    <col min="16125" max="16125" width="13" bestFit="1" customWidth="1"/>
    <col min="16126" max="16126" width="11.6640625" bestFit="1" customWidth="1"/>
    <col min="16127" max="16127" width="11.88671875" customWidth="1"/>
    <col min="16128" max="16128" width="8.77734375" bestFit="1" customWidth="1"/>
    <col min="16131" max="16131" width="13.44140625" customWidth="1"/>
    <col min="16132" max="16132" width="10.77734375" customWidth="1"/>
  </cols>
  <sheetData>
    <row r="1" spans="1:7" x14ac:dyDescent="0.25">
      <c r="A1" s="184" t="s">
        <v>66</v>
      </c>
      <c r="B1" s="185"/>
      <c r="C1" s="185"/>
      <c r="D1" s="185"/>
      <c r="E1" s="185"/>
      <c r="F1" s="185"/>
      <c r="G1" s="186"/>
    </row>
    <row r="2" spans="1:7" x14ac:dyDescent="0.25">
      <c r="A2" s="1"/>
      <c r="C2" s="2"/>
      <c r="D2" s="2"/>
      <c r="E2" s="3"/>
      <c r="F2" s="3"/>
      <c r="G2" s="4"/>
    </row>
    <row r="3" spans="1:7" x14ac:dyDescent="0.25">
      <c r="A3" s="1"/>
      <c r="B3" s="5" t="s">
        <v>0</v>
      </c>
      <c r="C3" s="6">
        <v>1187536.9099999999</v>
      </c>
      <c r="D3" s="126" t="s">
        <v>1</v>
      </c>
      <c r="E3" s="154"/>
      <c r="F3" s="154"/>
      <c r="G3" s="127"/>
    </row>
    <row r="4" spans="1:7" x14ac:dyDescent="0.25">
      <c r="A4" s="1"/>
      <c r="B4" s="9" t="s">
        <v>2</v>
      </c>
      <c r="C4" s="10">
        <v>-30.16</v>
      </c>
      <c r="D4" s="128">
        <f>C6</f>
        <v>-890630.06</v>
      </c>
      <c r="E4" s="129" t="s">
        <v>3</v>
      </c>
      <c r="F4" s="154"/>
      <c r="G4" s="130"/>
    </row>
    <row r="5" spans="1:7" x14ac:dyDescent="0.25">
      <c r="A5" s="14"/>
      <c r="B5" s="5" t="s">
        <v>4</v>
      </c>
      <c r="C5" s="6">
        <f>C3+C4</f>
        <v>1187506.75</v>
      </c>
      <c r="D5" s="131">
        <v>0.45</v>
      </c>
      <c r="E5" s="129" t="s">
        <v>5</v>
      </c>
      <c r="F5" s="154"/>
      <c r="G5" s="127"/>
    </row>
    <row r="6" spans="1:7" x14ac:dyDescent="0.25">
      <c r="A6" s="14"/>
      <c r="B6" s="16" t="s">
        <v>6</v>
      </c>
      <c r="C6" s="17">
        <f>ROUND(-1*(0.75*C5),2)</f>
        <v>-890630.06</v>
      </c>
      <c r="D6" s="132">
        <f>D4+D5</f>
        <v>-890629.6100000001</v>
      </c>
      <c r="E6" s="133" t="s">
        <v>7</v>
      </c>
      <c r="F6" s="154"/>
      <c r="G6" s="127"/>
    </row>
    <row r="7" spans="1:7" x14ac:dyDescent="0.25">
      <c r="A7" s="1"/>
      <c r="B7" s="20" t="s">
        <v>8</v>
      </c>
      <c r="C7" s="21">
        <v>-0.05</v>
      </c>
      <c r="D7" s="131">
        <v>0.08</v>
      </c>
      <c r="E7" s="129" t="s">
        <v>52</v>
      </c>
      <c r="F7" s="154"/>
      <c r="G7" s="130"/>
    </row>
    <row r="8" spans="1:7" x14ac:dyDescent="0.25">
      <c r="A8" s="1"/>
      <c r="B8" s="178" t="s">
        <v>9</v>
      </c>
      <c r="C8" s="179">
        <v>0</v>
      </c>
      <c r="D8" s="134">
        <f>D6+D7</f>
        <v>-890629.53000000014</v>
      </c>
      <c r="E8" s="133" t="s">
        <v>10</v>
      </c>
      <c r="F8" s="154"/>
      <c r="G8" s="130"/>
    </row>
    <row r="9" spans="1:7" x14ac:dyDescent="0.25">
      <c r="A9" s="1"/>
      <c r="B9" s="23" t="s">
        <v>68</v>
      </c>
      <c r="C9" s="24">
        <f>SUM(C5:C8)</f>
        <v>296876.63999999996</v>
      </c>
      <c r="D9" s="128">
        <f>D8*-1</f>
        <v>890629.53000000014</v>
      </c>
      <c r="E9" s="129" t="s">
        <v>10</v>
      </c>
      <c r="F9" s="154"/>
      <c r="G9" s="130"/>
    </row>
    <row r="10" spans="1:7" ht="26.25" x14ac:dyDescent="0.25">
      <c r="A10" s="1">
        <f>(919590.07+285.68-802.74)/2206161.59</f>
        <v>0.41659369565943721</v>
      </c>
      <c r="B10" s="25" t="s">
        <v>12</v>
      </c>
      <c r="C10" s="26">
        <f>A10*1</f>
        <v>0.41659369565943721</v>
      </c>
      <c r="D10" s="155">
        <f>C14</f>
        <v>0</v>
      </c>
      <c r="E10" s="156" t="s">
        <v>13</v>
      </c>
      <c r="F10" s="156"/>
      <c r="G10" s="130"/>
    </row>
    <row r="11" spans="1:7" ht="27" x14ac:dyDescent="0.3">
      <c r="A11" s="113"/>
      <c r="B11" s="114" t="s">
        <v>14</v>
      </c>
      <c r="C11" s="115">
        <v>0</v>
      </c>
      <c r="D11" s="157">
        <f>D9+D10</f>
        <v>890629.53000000014</v>
      </c>
      <c r="E11" s="158" t="s">
        <v>15</v>
      </c>
      <c r="F11" s="159"/>
      <c r="G11" s="135"/>
    </row>
    <row r="12" spans="1:7" x14ac:dyDescent="0.25">
      <c r="A12" s="1"/>
      <c r="B12" s="33"/>
      <c r="C12" s="3"/>
      <c r="D12" s="136" t="s">
        <v>16</v>
      </c>
      <c r="E12" s="137"/>
      <c r="F12" s="138"/>
      <c r="G12" s="130"/>
    </row>
    <row r="13" spans="1:7" x14ac:dyDescent="0.25">
      <c r="A13" s="118"/>
      <c r="B13" s="119" t="s">
        <v>17</v>
      </c>
      <c r="C13" s="120">
        <f>(C5+C6+C7)*C10+0.01</f>
        <v>123676.94661255628</v>
      </c>
      <c r="D13" s="128">
        <f>C5</f>
        <v>1187506.75</v>
      </c>
      <c r="E13" s="129" t="s">
        <v>4</v>
      </c>
      <c r="F13" s="160"/>
      <c r="G13" s="130"/>
    </row>
    <row r="14" spans="1:7" x14ac:dyDescent="0.25">
      <c r="A14" s="1"/>
      <c r="B14" s="23" t="s">
        <v>18</v>
      </c>
      <c r="C14" s="121"/>
      <c r="D14" s="131">
        <f>-C13</f>
        <v>-123676.94661255628</v>
      </c>
      <c r="E14" s="129" t="s">
        <v>19</v>
      </c>
      <c r="F14" s="160"/>
      <c r="G14" s="130"/>
    </row>
    <row r="15" spans="1:7" x14ac:dyDescent="0.25">
      <c r="A15" s="1"/>
      <c r="B15" s="33" t="s">
        <v>20</v>
      </c>
      <c r="C15" s="21"/>
      <c r="D15" s="132">
        <f>SUM(D12:D14)</f>
        <v>1063829.8033874438</v>
      </c>
      <c r="E15" s="139" t="s">
        <v>21</v>
      </c>
      <c r="F15" s="135"/>
      <c r="G15" s="130"/>
    </row>
    <row r="16" spans="1:7" x14ac:dyDescent="0.25">
      <c r="A16" s="1"/>
      <c r="B16" s="33"/>
      <c r="C16" s="21"/>
      <c r="D16" s="128">
        <f>D8</f>
        <v>-890629.53000000014</v>
      </c>
      <c r="E16" s="129" t="s">
        <v>10</v>
      </c>
      <c r="F16" s="160"/>
      <c r="G16" s="130"/>
    </row>
    <row r="17" spans="1:7" x14ac:dyDescent="0.25">
      <c r="A17" s="1"/>
      <c r="B17" s="23" t="s">
        <v>67</v>
      </c>
      <c r="C17" s="40">
        <f>C9-SUM(C13:C16)</f>
        <v>173199.69338744367</v>
      </c>
      <c r="D17" s="128">
        <f>-D10</f>
        <v>0</v>
      </c>
      <c r="E17" s="129" t="s">
        <v>23</v>
      </c>
      <c r="F17" s="160"/>
      <c r="G17" s="130"/>
    </row>
    <row r="18" spans="1:7" x14ac:dyDescent="0.25">
      <c r="A18" s="41"/>
      <c r="B18" s="38"/>
      <c r="C18" s="3"/>
      <c r="D18" s="131">
        <f>-D7</f>
        <v>-0.08</v>
      </c>
      <c r="E18" s="129" t="s">
        <v>56</v>
      </c>
      <c r="F18" s="160"/>
      <c r="G18" s="130"/>
    </row>
    <row r="19" spans="1:7" x14ac:dyDescent="0.25">
      <c r="A19" s="1"/>
      <c r="B19" s="43"/>
      <c r="C19" s="44"/>
      <c r="D19" s="161">
        <f>SUM(D15:D18)</f>
        <v>173200.19338744364</v>
      </c>
      <c r="E19" s="156" t="s">
        <v>24</v>
      </c>
      <c r="F19" s="160"/>
      <c r="G19" s="130"/>
    </row>
    <row r="20" spans="1:7" x14ac:dyDescent="0.25">
      <c r="A20" s="1"/>
      <c r="B20" s="12"/>
      <c r="C20" s="45"/>
      <c r="D20" s="131"/>
      <c r="E20" s="140"/>
      <c r="F20" s="162"/>
      <c r="G20" s="130"/>
    </row>
    <row r="21" spans="1:7" x14ac:dyDescent="0.25">
      <c r="A21" s="48"/>
      <c r="B21" s="49"/>
      <c r="C21" s="50"/>
      <c r="D21" s="142"/>
      <c r="E21" s="140"/>
      <c r="F21" s="143"/>
      <c r="G21" s="141"/>
    </row>
    <row r="22" spans="1:7" x14ac:dyDescent="0.25">
      <c r="D22" s="55"/>
      <c r="E22" s="56"/>
      <c r="F22" s="57"/>
    </row>
    <row r="23" spans="1:7" x14ac:dyDescent="0.25">
      <c r="A23" s="58" t="s">
        <v>60</v>
      </c>
      <c r="B23" s="59"/>
      <c r="C23" s="187" t="s">
        <v>59</v>
      </c>
      <c r="D23" s="188"/>
      <c r="E23" s="62" t="s">
        <v>26</v>
      </c>
      <c r="F23" s="62" t="s">
        <v>27</v>
      </c>
      <c r="G23" s="64"/>
    </row>
    <row r="24" spans="1:7" x14ac:dyDescent="0.25">
      <c r="A24" s="14"/>
      <c r="B24" s="166" t="s">
        <v>28</v>
      </c>
      <c r="C24" s="163" t="s">
        <v>29</v>
      </c>
      <c r="D24" s="164" t="s">
        <v>30</v>
      </c>
      <c r="E24" s="68" t="s">
        <v>31</v>
      </c>
      <c r="F24" s="68" t="s">
        <v>31</v>
      </c>
      <c r="G24" s="165" t="s">
        <v>32</v>
      </c>
    </row>
    <row r="25" spans="1:7" x14ac:dyDescent="0.25">
      <c r="A25" s="71" t="s">
        <v>33</v>
      </c>
      <c r="B25" s="72">
        <v>0</v>
      </c>
      <c r="C25" s="73">
        <v>0</v>
      </c>
      <c r="D25" s="74">
        <v>0</v>
      </c>
      <c r="E25" s="75">
        <v>0</v>
      </c>
      <c r="F25" s="75">
        <v>0</v>
      </c>
      <c r="G25" s="76">
        <f>B25-SUM(C25:F25)</f>
        <v>0</v>
      </c>
    </row>
    <row r="26" spans="1:7" x14ac:dyDescent="0.25">
      <c r="A26" s="77" t="s">
        <v>34</v>
      </c>
      <c r="B26" s="78">
        <f>C4</f>
        <v>-30.16</v>
      </c>
      <c r="C26" s="167"/>
      <c r="D26" s="80"/>
      <c r="E26" s="81"/>
      <c r="F26" s="81"/>
      <c r="G26" s="171"/>
    </row>
    <row r="27" spans="1:7" x14ac:dyDescent="0.25">
      <c r="A27" s="83" t="s">
        <v>35</v>
      </c>
      <c r="B27" s="78">
        <f>C3</f>
        <v>1187536.9099999999</v>
      </c>
      <c r="C27" s="168"/>
      <c r="D27" s="85"/>
      <c r="E27" s="75"/>
      <c r="F27" s="75"/>
      <c r="G27" s="172"/>
    </row>
    <row r="28" spans="1:7" x14ac:dyDescent="0.25">
      <c r="A28" s="71" t="s">
        <v>36</v>
      </c>
      <c r="B28" s="87">
        <f>B26+B27</f>
        <v>1187506.75</v>
      </c>
      <c r="C28" s="73">
        <f>(B28+B29+B30)*C44+0.01</f>
        <v>123676.94661255628</v>
      </c>
      <c r="D28" s="88">
        <v>0</v>
      </c>
      <c r="E28" s="75">
        <v>0</v>
      </c>
      <c r="F28" s="75">
        <v>0</v>
      </c>
      <c r="G28" s="75">
        <f>B28-SUM(C28:F28)</f>
        <v>1063829.8033874438</v>
      </c>
    </row>
    <row r="29" spans="1:7" x14ac:dyDescent="0.25">
      <c r="A29" s="116" t="s">
        <v>45</v>
      </c>
      <c r="B29" s="89">
        <f>C6</f>
        <v>-890630.06</v>
      </c>
      <c r="C29" s="169"/>
      <c r="D29" s="91"/>
      <c r="E29" s="4"/>
      <c r="F29" s="4"/>
      <c r="G29" s="173">
        <v>0</v>
      </c>
    </row>
    <row r="30" spans="1:7" x14ac:dyDescent="0.25">
      <c r="A30" s="116" t="s">
        <v>46</v>
      </c>
      <c r="B30" s="89">
        <f>C7</f>
        <v>-0.05</v>
      </c>
      <c r="C30" s="169"/>
      <c r="D30" s="91"/>
      <c r="E30" s="4"/>
      <c r="F30" s="4"/>
      <c r="G30" s="173"/>
    </row>
    <row r="31" spans="1:7" x14ac:dyDescent="0.25">
      <c r="A31" s="93" t="s">
        <v>47</v>
      </c>
      <c r="B31" s="94">
        <v>0</v>
      </c>
      <c r="C31" s="168"/>
      <c r="D31" s="85"/>
      <c r="E31" s="75"/>
      <c r="F31" s="75"/>
      <c r="G31" s="174"/>
    </row>
    <row r="32" spans="1:7" x14ac:dyDescent="0.25">
      <c r="A32" s="95" t="s">
        <v>37</v>
      </c>
      <c r="B32" s="96">
        <f>B29+B30+B31</f>
        <v>-890630.1100000001</v>
      </c>
      <c r="C32" s="170"/>
      <c r="D32" s="98">
        <v>0</v>
      </c>
      <c r="E32" s="99">
        <v>0</v>
      </c>
      <c r="F32" s="99">
        <v>0</v>
      </c>
      <c r="G32" s="175">
        <f>B32+C32+D32+E32+F32</f>
        <v>-890630.1100000001</v>
      </c>
    </row>
    <row r="33" spans="1:7" x14ac:dyDescent="0.25">
      <c r="A33" s="77" t="s">
        <v>38</v>
      </c>
      <c r="B33" s="78">
        <v>751048.82</v>
      </c>
      <c r="C33" s="78">
        <f>B33*$C$44</f>
        <v>312882.20354445942</v>
      </c>
      <c r="D33" s="78"/>
      <c r="E33" s="8">
        <v>0</v>
      </c>
      <c r="F33" s="101">
        <v>0</v>
      </c>
      <c r="G33" s="102">
        <f t="shared" ref="G33:G39" si="0">B33-SUM(C33:F33)</f>
        <v>438166.61645554053</v>
      </c>
    </row>
    <row r="34" spans="1:7" x14ac:dyDescent="0.25">
      <c r="A34" s="77" t="s">
        <v>39</v>
      </c>
      <c r="B34" s="78">
        <v>855854.1</v>
      </c>
      <c r="C34" s="78">
        <f>B34*$C$44</f>
        <v>356543.42246428155</v>
      </c>
      <c r="D34" s="78"/>
      <c r="E34" s="8">
        <v>0</v>
      </c>
      <c r="F34" s="101">
        <v>0</v>
      </c>
      <c r="G34" s="103">
        <f t="shared" si="0"/>
        <v>499310.67753571842</v>
      </c>
    </row>
    <row r="35" spans="1:7" x14ac:dyDescent="0.25">
      <c r="A35" s="77" t="s">
        <v>40</v>
      </c>
      <c r="B35" s="78">
        <v>35726.589999999997</v>
      </c>
      <c r="C35" s="78">
        <f>B35*$C$44</f>
        <v>14883.472161409491</v>
      </c>
      <c r="D35" s="78"/>
      <c r="E35" s="8">
        <v>0</v>
      </c>
      <c r="F35" s="101">
        <v>0</v>
      </c>
      <c r="G35" s="103">
        <f t="shared" si="0"/>
        <v>20843.117838590508</v>
      </c>
    </row>
    <row r="36" spans="1:7" x14ac:dyDescent="0.25">
      <c r="A36" s="77" t="s">
        <v>41</v>
      </c>
      <c r="B36" s="78">
        <v>69746</v>
      </c>
      <c r="C36" s="78">
        <f>B36*$C$44</f>
        <v>29055.743897463108</v>
      </c>
      <c r="D36" s="78"/>
      <c r="E36" s="10">
        <v>0</v>
      </c>
      <c r="F36" s="75">
        <v>0</v>
      </c>
      <c r="G36" s="104">
        <f t="shared" si="0"/>
        <v>40690.256102536892</v>
      </c>
    </row>
    <row r="37" spans="1:7" x14ac:dyDescent="0.25">
      <c r="A37" s="95" t="s">
        <v>42</v>
      </c>
      <c r="B37" s="105">
        <f>SUM(B33:B36)</f>
        <v>1712375.51</v>
      </c>
      <c r="C37" s="106">
        <f>SUM(C33:C36)-0.01</f>
        <v>713364.83206761349</v>
      </c>
      <c r="D37" s="106">
        <f>SUM(D33:D36)</f>
        <v>0</v>
      </c>
      <c r="E37" s="106">
        <f>SUM(E33:E36)</f>
        <v>0</v>
      </c>
      <c r="F37" s="106">
        <f>SUM(F33:F36)</f>
        <v>0</v>
      </c>
      <c r="G37" s="105">
        <f t="shared" si="0"/>
        <v>999010.67793238652</v>
      </c>
    </row>
    <row r="38" spans="1:7" x14ac:dyDescent="0.25">
      <c r="A38" s="71" t="s">
        <v>43</v>
      </c>
      <c r="B38" s="72">
        <v>196909.44</v>
      </c>
      <c r="C38" s="72">
        <f>B38*$C$44</f>
        <v>82031.231319830214</v>
      </c>
      <c r="D38" s="78"/>
      <c r="E38" s="75">
        <v>0</v>
      </c>
      <c r="F38" s="75">
        <v>0</v>
      </c>
      <c r="G38" s="76">
        <f t="shared" si="0"/>
        <v>114878.20868016979</v>
      </c>
    </row>
    <row r="39" spans="1:7" x14ac:dyDescent="0.25">
      <c r="A39" s="71" t="s">
        <v>44</v>
      </c>
      <c r="B39" s="107">
        <f>B25+B28+B29+B30+B37+B38</f>
        <v>2206161.59</v>
      </c>
      <c r="C39" s="107">
        <f>C25+C28+C32+C37+C38</f>
        <v>919073.00999999989</v>
      </c>
      <c r="D39" s="98">
        <f>D25+D28-D32+D37+D38</f>
        <v>0</v>
      </c>
      <c r="E39" s="108">
        <f>E25+E28+E32+E37+E38</f>
        <v>0</v>
      </c>
      <c r="F39" s="108">
        <f>F25+F28+F32+F37+F38</f>
        <v>0</v>
      </c>
      <c r="G39" s="105">
        <f t="shared" si="0"/>
        <v>1287088.58</v>
      </c>
    </row>
    <row r="40" spans="1:7" x14ac:dyDescent="0.25">
      <c r="E40" s="109"/>
      <c r="G40" s="110"/>
    </row>
    <row r="41" spans="1:7" x14ac:dyDescent="0.25">
      <c r="A41" s="5" t="s">
        <v>48</v>
      </c>
      <c r="C41" s="38">
        <v>919875.75</v>
      </c>
      <c r="D41" s="57"/>
      <c r="E41" s="110"/>
    </row>
    <row r="42" spans="1:7" x14ac:dyDescent="0.25">
      <c r="A42" s="122" t="s">
        <v>50</v>
      </c>
      <c r="C42" s="38">
        <v>-802.74</v>
      </c>
      <c r="D42" s="57"/>
      <c r="E42" s="111"/>
      <c r="F42" s="112"/>
    </row>
    <row r="43" spans="1:7" x14ac:dyDescent="0.25">
      <c r="A43" s="5" t="s">
        <v>49</v>
      </c>
      <c r="C43" s="38">
        <f>SUM(C41:C42)</f>
        <v>919073.01</v>
      </c>
      <c r="D43" s="57"/>
      <c r="E43" s="110"/>
    </row>
    <row r="44" spans="1:7" x14ac:dyDescent="0.25">
      <c r="C44" s="117">
        <f>C43/$B$39</f>
        <v>0.41659369565943721</v>
      </c>
      <c r="D44" s="57"/>
      <c r="E44" s="110"/>
    </row>
    <row r="45" spans="1:7" x14ac:dyDescent="0.25">
      <c r="C45" s="57"/>
      <c r="D45" s="57"/>
      <c r="E45" s="110"/>
    </row>
    <row r="46" spans="1:7" x14ac:dyDescent="0.25">
      <c r="C46" s="57"/>
      <c r="D46" s="57"/>
      <c r="E46" s="110"/>
    </row>
    <row r="47" spans="1:7" x14ac:dyDescent="0.25">
      <c r="C47" s="57"/>
      <c r="D47" s="57"/>
      <c r="E47" s="110"/>
    </row>
    <row r="48" spans="1:7" x14ac:dyDescent="0.25">
      <c r="C48" s="57"/>
      <c r="D48" s="57"/>
      <c r="E48" s="110"/>
    </row>
    <row r="49" spans="3:5" x14ac:dyDescent="0.25">
      <c r="C49" s="55"/>
      <c r="D49" s="55"/>
      <c r="E49" s="55"/>
    </row>
    <row r="50" spans="3:5" x14ac:dyDescent="0.25">
      <c r="C50" s="56"/>
      <c r="D50" s="56"/>
      <c r="E50" s="56"/>
    </row>
  </sheetData>
  <mergeCells count="2">
    <mergeCell ref="A1:G1"/>
    <mergeCell ref="C23:D23"/>
  </mergeCells>
  <pageMargins left="0.4" right="0" top="0" bottom="0" header="0" footer="0"/>
  <pageSetup scale="91" fitToWidth="0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5640-E40A-4B18-BF4A-3F6CF88504C2}">
  <sheetPr transitionEvaluation="1">
    <pageSetUpPr fitToPage="1"/>
  </sheetPr>
  <dimension ref="A1:G51"/>
  <sheetViews>
    <sheetView tabSelected="1" workbookViewId="0">
      <selection activeCell="D38" sqref="D38"/>
    </sheetView>
  </sheetViews>
  <sheetFormatPr defaultRowHeight="15.75" x14ac:dyDescent="0.25"/>
  <cols>
    <col min="1" max="1" width="27" customWidth="1"/>
    <col min="2" max="2" width="16.44140625" customWidth="1"/>
    <col min="3" max="3" width="15.109375" bestFit="1" customWidth="1"/>
    <col min="4" max="4" width="18.109375" bestFit="1" customWidth="1"/>
    <col min="5" max="5" width="13" bestFit="1" customWidth="1"/>
    <col min="6" max="6" width="11.6640625" bestFit="1" customWidth="1"/>
    <col min="7" max="7" width="11.88671875" customWidth="1"/>
    <col min="249" max="249" width="23.88671875" bestFit="1" customWidth="1"/>
    <col min="250" max="250" width="18.109375" customWidth="1"/>
    <col min="251" max="251" width="15.109375" bestFit="1" customWidth="1"/>
    <col min="252" max="252" width="16.77734375" bestFit="1" customWidth="1"/>
    <col min="253" max="253" width="13" bestFit="1" customWidth="1"/>
    <col min="254" max="254" width="11.6640625" bestFit="1" customWidth="1"/>
    <col min="255" max="255" width="11.88671875" customWidth="1"/>
    <col min="256" max="256" width="8.77734375" bestFit="1" customWidth="1"/>
    <col min="259" max="259" width="13.44140625" customWidth="1"/>
    <col min="260" max="260" width="10.77734375" customWidth="1"/>
    <col min="505" max="505" width="23.88671875" bestFit="1" customWidth="1"/>
    <col min="506" max="506" width="18.109375" customWidth="1"/>
    <col min="507" max="507" width="15.109375" bestFit="1" customWidth="1"/>
    <col min="508" max="508" width="16.77734375" bestFit="1" customWidth="1"/>
    <col min="509" max="509" width="13" bestFit="1" customWidth="1"/>
    <col min="510" max="510" width="11.6640625" bestFit="1" customWidth="1"/>
    <col min="511" max="511" width="11.88671875" customWidth="1"/>
    <col min="512" max="512" width="8.77734375" bestFit="1" customWidth="1"/>
    <col min="515" max="515" width="13.44140625" customWidth="1"/>
    <col min="516" max="516" width="10.77734375" customWidth="1"/>
    <col min="761" max="761" width="23.88671875" bestFit="1" customWidth="1"/>
    <col min="762" max="762" width="18.109375" customWidth="1"/>
    <col min="763" max="763" width="15.109375" bestFit="1" customWidth="1"/>
    <col min="764" max="764" width="16.77734375" bestFit="1" customWidth="1"/>
    <col min="765" max="765" width="13" bestFit="1" customWidth="1"/>
    <col min="766" max="766" width="11.6640625" bestFit="1" customWidth="1"/>
    <col min="767" max="767" width="11.88671875" customWidth="1"/>
    <col min="768" max="768" width="8.77734375" bestFit="1" customWidth="1"/>
    <col min="771" max="771" width="13.44140625" customWidth="1"/>
    <col min="772" max="772" width="10.77734375" customWidth="1"/>
    <col min="1017" max="1017" width="23.88671875" bestFit="1" customWidth="1"/>
    <col min="1018" max="1018" width="18.109375" customWidth="1"/>
    <col min="1019" max="1019" width="15.109375" bestFit="1" customWidth="1"/>
    <col min="1020" max="1020" width="16.77734375" bestFit="1" customWidth="1"/>
    <col min="1021" max="1021" width="13" bestFit="1" customWidth="1"/>
    <col min="1022" max="1022" width="11.6640625" bestFit="1" customWidth="1"/>
    <col min="1023" max="1023" width="11.88671875" customWidth="1"/>
    <col min="1024" max="1024" width="8.77734375" bestFit="1" customWidth="1"/>
    <col min="1027" max="1027" width="13.44140625" customWidth="1"/>
    <col min="1028" max="1028" width="10.77734375" customWidth="1"/>
    <col min="1273" max="1273" width="23.88671875" bestFit="1" customWidth="1"/>
    <col min="1274" max="1274" width="18.109375" customWidth="1"/>
    <col min="1275" max="1275" width="15.109375" bestFit="1" customWidth="1"/>
    <col min="1276" max="1276" width="16.77734375" bestFit="1" customWidth="1"/>
    <col min="1277" max="1277" width="13" bestFit="1" customWidth="1"/>
    <col min="1278" max="1278" width="11.6640625" bestFit="1" customWidth="1"/>
    <col min="1279" max="1279" width="11.88671875" customWidth="1"/>
    <col min="1280" max="1280" width="8.77734375" bestFit="1" customWidth="1"/>
    <col min="1283" max="1283" width="13.44140625" customWidth="1"/>
    <col min="1284" max="1284" width="10.77734375" customWidth="1"/>
    <col min="1529" max="1529" width="23.88671875" bestFit="1" customWidth="1"/>
    <col min="1530" max="1530" width="18.109375" customWidth="1"/>
    <col min="1531" max="1531" width="15.109375" bestFit="1" customWidth="1"/>
    <col min="1532" max="1532" width="16.77734375" bestFit="1" customWidth="1"/>
    <col min="1533" max="1533" width="13" bestFit="1" customWidth="1"/>
    <col min="1534" max="1534" width="11.6640625" bestFit="1" customWidth="1"/>
    <col min="1535" max="1535" width="11.88671875" customWidth="1"/>
    <col min="1536" max="1536" width="8.77734375" bestFit="1" customWidth="1"/>
    <col min="1539" max="1539" width="13.44140625" customWidth="1"/>
    <col min="1540" max="1540" width="10.77734375" customWidth="1"/>
    <col min="1785" max="1785" width="23.88671875" bestFit="1" customWidth="1"/>
    <col min="1786" max="1786" width="18.109375" customWidth="1"/>
    <col min="1787" max="1787" width="15.109375" bestFit="1" customWidth="1"/>
    <col min="1788" max="1788" width="16.77734375" bestFit="1" customWidth="1"/>
    <col min="1789" max="1789" width="13" bestFit="1" customWidth="1"/>
    <col min="1790" max="1790" width="11.6640625" bestFit="1" customWidth="1"/>
    <col min="1791" max="1791" width="11.88671875" customWidth="1"/>
    <col min="1792" max="1792" width="8.77734375" bestFit="1" customWidth="1"/>
    <col min="1795" max="1795" width="13.44140625" customWidth="1"/>
    <col min="1796" max="1796" width="10.77734375" customWidth="1"/>
    <col min="2041" max="2041" width="23.88671875" bestFit="1" customWidth="1"/>
    <col min="2042" max="2042" width="18.109375" customWidth="1"/>
    <col min="2043" max="2043" width="15.109375" bestFit="1" customWidth="1"/>
    <col min="2044" max="2044" width="16.77734375" bestFit="1" customWidth="1"/>
    <col min="2045" max="2045" width="13" bestFit="1" customWidth="1"/>
    <col min="2046" max="2046" width="11.6640625" bestFit="1" customWidth="1"/>
    <col min="2047" max="2047" width="11.88671875" customWidth="1"/>
    <col min="2048" max="2048" width="8.77734375" bestFit="1" customWidth="1"/>
    <col min="2051" max="2051" width="13.44140625" customWidth="1"/>
    <col min="2052" max="2052" width="10.77734375" customWidth="1"/>
    <col min="2297" max="2297" width="23.88671875" bestFit="1" customWidth="1"/>
    <col min="2298" max="2298" width="18.109375" customWidth="1"/>
    <col min="2299" max="2299" width="15.109375" bestFit="1" customWidth="1"/>
    <col min="2300" max="2300" width="16.77734375" bestFit="1" customWidth="1"/>
    <col min="2301" max="2301" width="13" bestFit="1" customWidth="1"/>
    <col min="2302" max="2302" width="11.6640625" bestFit="1" customWidth="1"/>
    <col min="2303" max="2303" width="11.88671875" customWidth="1"/>
    <col min="2304" max="2304" width="8.77734375" bestFit="1" customWidth="1"/>
    <col min="2307" max="2307" width="13.44140625" customWidth="1"/>
    <col min="2308" max="2308" width="10.77734375" customWidth="1"/>
    <col min="2553" max="2553" width="23.88671875" bestFit="1" customWidth="1"/>
    <col min="2554" max="2554" width="18.109375" customWidth="1"/>
    <col min="2555" max="2555" width="15.109375" bestFit="1" customWidth="1"/>
    <col min="2556" max="2556" width="16.77734375" bestFit="1" customWidth="1"/>
    <col min="2557" max="2557" width="13" bestFit="1" customWidth="1"/>
    <col min="2558" max="2558" width="11.6640625" bestFit="1" customWidth="1"/>
    <col min="2559" max="2559" width="11.88671875" customWidth="1"/>
    <col min="2560" max="2560" width="8.77734375" bestFit="1" customWidth="1"/>
    <col min="2563" max="2563" width="13.44140625" customWidth="1"/>
    <col min="2564" max="2564" width="10.77734375" customWidth="1"/>
    <col min="2809" max="2809" width="23.88671875" bestFit="1" customWidth="1"/>
    <col min="2810" max="2810" width="18.109375" customWidth="1"/>
    <col min="2811" max="2811" width="15.109375" bestFit="1" customWidth="1"/>
    <col min="2812" max="2812" width="16.77734375" bestFit="1" customWidth="1"/>
    <col min="2813" max="2813" width="13" bestFit="1" customWidth="1"/>
    <col min="2814" max="2814" width="11.6640625" bestFit="1" customWidth="1"/>
    <col min="2815" max="2815" width="11.88671875" customWidth="1"/>
    <col min="2816" max="2816" width="8.77734375" bestFit="1" customWidth="1"/>
    <col min="2819" max="2819" width="13.44140625" customWidth="1"/>
    <col min="2820" max="2820" width="10.77734375" customWidth="1"/>
    <col min="3065" max="3065" width="23.88671875" bestFit="1" customWidth="1"/>
    <col min="3066" max="3066" width="18.109375" customWidth="1"/>
    <col min="3067" max="3067" width="15.109375" bestFit="1" customWidth="1"/>
    <col min="3068" max="3068" width="16.77734375" bestFit="1" customWidth="1"/>
    <col min="3069" max="3069" width="13" bestFit="1" customWidth="1"/>
    <col min="3070" max="3070" width="11.6640625" bestFit="1" customWidth="1"/>
    <col min="3071" max="3071" width="11.88671875" customWidth="1"/>
    <col min="3072" max="3072" width="8.77734375" bestFit="1" customWidth="1"/>
    <col min="3075" max="3075" width="13.44140625" customWidth="1"/>
    <col min="3076" max="3076" width="10.77734375" customWidth="1"/>
    <col min="3321" max="3321" width="23.88671875" bestFit="1" customWidth="1"/>
    <col min="3322" max="3322" width="18.109375" customWidth="1"/>
    <col min="3323" max="3323" width="15.109375" bestFit="1" customWidth="1"/>
    <col min="3324" max="3324" width="16.77734375" bestFit="1" customWidth="1"/>
    <col min="3325" max="3325" width="13" bestFit="1" customWidth="1"/>
    <col min="3326" max="3326" width="11.6640625" bestFit="1" customWidth="1"/>
    <col min="3327" max="3327" width="11.88671875" customWidth="1"/>
    <col min="3328" max="3328" width="8.77734375" bestFit="1" customWidth="1"/>
    <col min="3331" max="3331" width="13.44140625" customWidth="1"/>
    <col min="3332" max="3332" width="10.77734375" customWidth="1"/>
    <col min="3577" max="3577" width="23.88671875" bestFit="1" customWidth="1"/>
    <col min="3578" max="3578" width="18.109375" customWidth="1"/>
    <col min="3579" max="3579" width="15.109375" bestFit="1" customWidth="1"/>
    <col min="3580" max="3580" width="16.77734375" bestFit="1" customWidth="1"/>
    <col min="3581" max="3581" width="13" bestFit="1" customWidth="1"/>
    <col min="3582" max="3582" width="11.6640625" bestFit="1" customWidth="1"/>
    <col min="3583" max="3583" width="11.88671875" customWidth="1"/>
    <col min="3584" max="3584" width="8.77734375" bestFit="1" customWidth="1"/>
    <col min="3587" max="3587" width="13.44140625" customWidth="1"/>
    <col min="3588" max="3588" width="10.77734375" customWidth="1"/>
    <col min="3833" max="3833" width="23.88671875" bestFit="1" customWidth="1"/>
    <col min="3834" max="3834" width="18.109375" customWidth="1"/>
    <col min="3835" max="3835" width="15.109375" bestFit="1" customWidth="1"/>
    <col min="3836" max="3836" width="16.77734375" bestFit="1" customWidth="1"/>
    <col min="3837" max="3837" width="13" bestFit="1" customWidth="1"/>
    <col min="3838" max="3838" width="11.6640625" bestFit="1" customWidth="1"/>
    <col min="3839" max="3839" width="11.88671875" customWidth="1"/>
    <col min="3840" max="3840" width="8.77734375" bestFit="1" customWidth="1"/>
    <col min="3843" max="3843" width="13.44140625" customWidth="1"/>
    <col min="3844" max="3844" width="10.77734375" customWidth="1"/>
    <col min="4089" max="4089" width="23.88671875" bestFit="1" customWidth="1"/>
    <col min="4090" max="4090" width="18.109375" customWidth="1"/>
    <col min="4091" max="4091" width="15.109375" bestFit="1" customWidth="1"/>
    <col min="4092" max="4092" width="16.77734375" bestFit="1" customWidth="1"/>
    <col min="4093" max="4093" width="13" bestFit="1" customWidth="1"/>
    <col min="4094" max="4094" width="11.6640625" bestFit="1" customWidth="1"/>
    <col min="4095" max="4095" width="11.88671875" customWidth="1"/>
    <col min="4096" max="4096" width="8.77734375" bestFit="1" customWidth="1"/>
    <col min="4099" max="4099" width="13.44140625" customWidth="1"/>
    <col min="4100" max="4100" width="10.77734375" customWidth="1"/>
    <col min="4345" max="4345" width="23.88671875" bestFit="1" customWidth="1"/>
    <col min="4346" max="4346" width="18.109375" customWidth="1"/>
    <col min="4347" max="4347" width="15.109375" bestFit="1" customWidth="1"/>
    <col min="4348" max="4348" width="16.77734375" bestFit="1" customWidth="1"/>
    <col min="4349" max="4349" width="13" bestFit="1" customWidth="1"/>
    <col min="4350" max="4350" width="11.6640625" bestFit="1" customWidth="1"/>
    <col min="4351" max="4351" width="11.88671875" customWidth="1"/>
    <col min="4352" max="4352" width="8.77734375" bestFit="1" customWidth="1"/>
    <col min="4355" max="4355" width="13.44140625" customWidth="1"/>
    <col min="4356" max="4356" width="10.77734375" customWidth="1"/>
    <col min="4601" max="4601" width="23.88671875" bestFit="1" customWidth="1"/>
    <col min="4602" max="4602" width="18.109375" customWidth="1"/>
    <col min="4603" max="4603" width="15.109375" bestFit="1" customWidth="1"/>
    <col min="4604" max="4604" width="16.77734375" bestFit="1" customWidth="1"/>
    <col min="4605" max="4605" width="13" bestFit="1" customWidth="1"/>
    <col min="4606" max="4606" width="11.6640625" bestFit="1" customWidth="1"/>
    <col min="4607" max="4607" width="11.88671875" customWidth="1"/>
    <col min="4608" max="4608" width="8.77734375" bestFit="1" customWidth="1"/>
    <col min="4611" max="4611" width="13.44140625" customWidth="1"/>
    <col min="4612" max="4612" width="10.77734375" customWidth="1"/>
    <col min="4857" max="4857" width="23.88671875" bestFit="1" customWidth="1"/>
    <col min="4858" max="4858" width="18.109375" customWidth="1"/>
    <col min="4859" max="4859" width="15.109375" bestFit="1" customWidth="1"/>
    <col min="4860" max="4860" width="16.77734375" bestFit="1" customWidth="1"/>
    <col min="4861" max="4861" width="13" bestFit="1" customWidth="1"/>
    <col min="4862" max="4862" width="11.6640625" bestFit="1" customWidth="1"/>
    <col min="4863" max="4863" width="11.88671875" customWidth="1"/>
    <col min="4864" max="4864" width="8.77734375" bestFit="1" customWidth="1"/>
    <col min="4867" max="4867" width="13.44140625" customWidth="1"/>
    <col min="4868" max="4868" width="10.77734375" customWidth="1"/>
    <col min="5113" max="5113" width="23.88671875" bestFit="1" customWidth="1"/>
    <col min="5114" max="5114" width="18.109375" customWidth="1"/>
    <col min="5115" max="5115" width="15.109375" bestFit="1" customWidth="1"/>
    <col min="5116" max="5116" width="16.77734375" bestFit="1" customWidth="1"/>
    <col min="5117" max="5117" width="13" bestFit="1" customWidth="1"/>
    <col min="5118" max="5118" width="11.6640625" bestFit="1" customWidth="1"/>
    <col min="5119" max="5119" width="11.88671875" customWidth="1"/>
    <col min="5120" max="5120" width="8.77734375" bestFit="1" customWidth="1"/>
    <col min="5123" max="5123" width="13.44140625" customWidth="1"/>
    <col min="5124" max="5124" width="10.77734375" customWidth="1"/>
    <col min="5369" max="5369" width="23.88671875" bestFit="1" customWidth="1"/>
    <col min="5370" max="5370" width="18.109375" customWidth="1"/>
    <col min="5371" max="5371" width="15.109375" bestFit="1" customWidth="1"/>
    <col min="5372" max="5372" width="16.77734375" bestFit="1" customWidth="1"/>
    <col min="5373" max="5373" width="13" bestFit="1" customWidth="1"/>
    <col min="5374" max="5374" width="11.6640625" bestFit="1" customWidth="1"/>
    <col min="5375" max="5375" width="11.88671875" customWidth="1"/>
    <col min="5376" max="5376" width="8.77734375" bestFit="1" customWidth="1"/>
    <col min="5379" max="5379" width="13.44140625" customWidth="1"/>
    <col min="5380" max="5380" width="10.77734375" customWidth="1"/>
    <col min="5625" max="5625" width="23.88671875" bestFit="1" customWidth="1"/>
    <col min="5626" max="5626" width="18.109375" customWidth="1"/>
    <col min="5627" max="5627" width="15.109375" bestFit="1" customWidth="1"/>
    <col min="5628" max="5628" width="16.77734375" bestFit="1" customWidth="1"/>
    <col min="5629" max="5629" width="13" bestFit="1" customWidth="1"/>
    <col min="5630" max="5630" width="11.6640625" bestFit="1" customWidth="1"/>
    <col min="5631" max="5631" width="11.88671875" customWidth="1"/>
    <col min="5632" max="5632" width="8.77734375" bestFit="1" customWidth="1"/>
    <col min="5635" max="5635" width="13.44140625" customWidth="1"/>
    <col min="5636" max="5636" width="10.77734375" customWidth="1"/>
    <col min="5881" max="5881" width="23.88671875" bestFit="1" customWidth="1"/>
    <col min="5882" max="5882" width="18.109375" customWidth="1"/>
    <col min="5883" max="5883" width="15.109375" bestFit="1" customWidth="1"/>
    <col min="5884" max="5884" width="16.77734375" bestFit="1" customWidth="1"/>
    <col min="5885" max="5885" width="13" bestFit="1" customWidth="1"/>
    <col min="5886" max="5886" width="11.6640625" bestFit="1" customWidth="1"/>
    <col min="5887" max="5887" width="11.88671875" customWidth="1"/>
    <col min="5888" max="5888" width="8.77734375" bestFit="1" customWidth="1"/>
    <col min="5891" max="5891" width="13.44140625" customWidth="1"/>
    <col min="5892" max="5892" width="10.77734375" customWidth="1"/>
    <col min="6137" max="6137" width="23.88671875" bestFit="1" customWidth="1"/>
    <col min="6138" max="6138" width="18.109375" customWidth="1"/>
    <col min="6139" max="6139" width="15.109375" bestFit="1" customWidth="1"/>
    <col min="6140" max="6140" width="16.77734375" bestFit="1" customWidth="1"/>
    <col min="6141" max="6141" width="13" bestFit="1" customWidth="1"/>
    <col min="6142" max="6142" width="11.6640625" bestFit="1" customWidth="1"/>
    <col min="6143" max="6143" width="11.88671875" customWidth="1"/>
    <col min="6144" max="6144" width="8.77734375" bestFit="1" customWidth="1"/>
    <col min="6147" max="6147" width="13.44140625" customWidth="1"/>
    <col min="6148" max="6148" width="10.77734375" customWidth="1"/>
    <col min="6393" max="6393" width="23.88671875" bestFit="1" customWidth="1"/>
    <col min="6394" max="6394" width="18.109375" customWidth="1"/>
    <col min="6395" max="6395" width="15.109375" bestFit="1" customWidth="1"/>
    <col min="6396" max="6396" width="16.77734375" bestFit="1" customWidth="1"/>
    <col min="6397" max="6397" width="13" bestFit="1" customWidth="1"/>
    <col min="6398" max="6398" width="11.6640625" bestFit="1" customWidth="1"/>
    <col min="6399" max="6399" width="11.88671875" customWidth="1"/>
    <col min="6400" max="6400" width="8.77734375" bestFit="1" customWidth="1"/>
    <col min="6403" max="6403" width="13.44140625" customWidth="1"/>
    <col min="6404" max="6404" width="10.77734375" customWidth="1"/>
    <col min="6649" max="6649" width="23.88671875" bestFit="1" customWidth="1"/>
    <col min="6650" max="6650" width="18.109375" customWidth="1"/>
    <col min="6651" max="6651" width="15.109375" bestFit="1" customWidth="1"/>
    <col min="6652" max="6652" width="16.77734375" bestFit="1" customWidth="1"/>
    <col min="6653" max="6653" width="13" bestFit="1" customWidth="1"/>
    <col min="6654" max="6654" width="11.6640625" bestFit="1" customWidth="1"/>
    <col min="6655" max="6655" width="11.88671875" customWidth="1"/>
    <col min="6656" max="6656" width="8.77734375" bestFit="1" customWidth="1"/>
    <col min="6659" max="6659" width="13.44140625" customWidth="1"/>
    <col min="6660" max="6660" width="10.77734375" customWidth="1"/>
    <col min="6905" max="6905" width="23.88671875" bestFit="1" customWidth="1"/>
    <col min="6906" max="6906" width="18.109375" customWidth="1"/>
    <col min="6907" max="6907" width="15.109375" bestFit="1" customWidth="1"/>
    <col min="6908" max="6908" width="16.77734375" bestFit="1" customWidth="1"/>
    <col min="6909" max="6909" width="13" bestFit="1" customWidth="1"/>
    <col min="6910" max="6910" width="11.6640625" bestFit="1" customWidth="1"/>
    <col min="6911" max="6911" width="11.88671875" customWidth="1"/>
    <col min="6912" max="6912" width="8.77734375" bestFit="1" customWidth="1"/>
    <col min="6915" max="6915" width="13.44140625" customWidth="1"/>
    <col min="6916" max="6916" width="10.77734375" customWidth="1"/>
    <col min="7161" max="7161" width="23.88671875" bestFit="1" customWidth="1"/>
    <col min="7162" max="7162" width="18.109375" customWidth="1"/>
    <col min="7163" max="7163" width="15.109375" bestFit="1" customWidth="1"/>
    <col min="7164" max="7164" width="16.77734375" bestFit="1" customWidth="1"/>
    <col min="7165" max="7165" width="13" bestFit="1" customWidth="1"/>
    <col min="7166" max="7166" width="11.6640625" bestFit="1" customWidth="1"/>
    <col min="7167" max="7167" width="11.88671875" customWidth="1"/>
    <col min="7168" max="7168" width="8.77734375" bestFit="1" customWidth="1"/>
    <col min="7171" max="7171" width="13.44140625" customWidth="1"/>
    <col min="7172" max="7172" width="10.77734375" customWidth="1"/>
    <col min="7417" max="7417" width="23.88671875" bestFit="1" customWidth="1"/>
    <col min="7418" max="7418" width="18.109375" customWidth="1"/>
    <col min="7419" max="7419" width="15.109375" bestFit="1" customWidth="1"/>
    <col min="7420" max="7420" width="16.77734375" bestFit="1" customWidth="1"/>
    <col min="7421" max="7421" width="13" bestFit="1" customWidth="1"/>
    <col min="7422" max="7422" width="11.6640625" bestFit="1" customWidth="1"/>
    <col min="7423" max="7423" width="11.88671875" customWidth="1"/>
    <col min="7424" max="7424" width="8.77734375" bestFit="1" customWidth="1"/>
    <col min="7427" max="7427" width="13.44140625" customWidth="1"/>
    <col min="7428" max="7428" width="10.77734375" customWidth="1"/>
    <col min="7673" max="7673" width="23.88671875" bestFit="1" customWidth="1"/>
    <col min="7674" max="7674" width="18.109375" customWidth="1"/>
    <col min="7675" max="7675" width="15.109375" bestFit="1" customWidth="1"/>
    <col min="7676" max="7676" width="16.77734375" bestFit="1" customWidth="1"/>
    <col min="7677" max="7677" width="13" bestFit="1" customWidth="1"/>
    <col min="7678" max="7678" width="11.6640625" bestFit="1" customWidth="1"/>
    <col min="7679" max="7679" width="11.88671875" customWidth="1"/>
    <col min="7680" max="7680" width="8.77734375" bestFit="1" customWidth="1"/>
    <col min="7683" max="7683" width="13.44140625" customWidth="1"/>
    <col min="7684" max="7684" width="10.77734375" customWidth="1"/>
    <col min="7929" max="7929" width="23.88671875" bestFit="1" customWidth="1"/>
    <col min="7930" max="7930" width="18.109375" customWidth="1"/>
    <col min="7931" max="7931" width="15.109375" bestFit="1" customWidth="1"/>
    <col min="7932" max="7932" width="16.77734375" bestFit="1" customWidth="1"/>
    <col min="7933" max="7933" width="13" bestFit="1" customWidth="1"/>
    <col min="7934" max="7934" width="11.6640625" bestFit="1" customWidth="1"/>
    <col min="7935" max="7935" width="11.88671875" customWidth="1"/>
    <col min="7936" max="7936" width="8.77734375" bestFit="1" customWidth="1"/>
    <col min="7939" max="7939" width="13.44140625" customWidth="1"/>
    <col min="7940" max="7940" width="10.77734375" customWidth="1"/>
    <col min="8185" max="8185" width="23.88671875" bestFit="1" customWidth="1"/>
    <col min="8186" max="8186" width="18.109375" customWidth="1"/>
    <col min="8187" max="8187" width="15.109375" bestFit="1" customWidth="1"/>
    <col min="8188" max="8188" width="16.77734375" bestFit="1" customWidth="1"/>
    <col min="8189" max="8189" width="13" bestFit="1" customWidth="1"/>
    <col min="8190" max="8190" width="11.6640625" bestFit="1" customWidth="1"/>
    <col min="8191" max="8191" width="11.88671875" customWidth="1"/>
    <col min="8192" max="8192" width="8.77734375" bestFit="1" customWidth="1"/>
    <col min="8195" max="8195" width="13.44140625" customWidth="1"/>
    <col min="8196" max="8196" width="10.77734375" customWidth="1"/>
    <col min="8441" max="8441" width="23.88671875" bestFit="1" customWidth="1"/>
    <col min="8442" max="8442" width="18.109375" customWidth="1"/>
    <col min="8443" max="8443" width="15.109375" bestFit="1" customWidth="1"/>
    <col min="8444" max="8444" width="16.77734375" bestFit="1" customWidth="1"/>
    <col min="8445" max="8445" width="13" bestFit="1" customWidth="1"/>
    <col min="8446" max="8446" width="11.6640625" bestFit="1" customWidth="1"/>
    <col min="8447" max="8447" width="11.88671875" customWidth="1"/>
    <col min="8448" max="8448" width="8.77734375" bestFit="1" customWidth="1"/>
    <col min="8451" max="8451" width="13.44140625" customWidth="1"/>
    <col min="8452" max="8452" width="10.77734375" customWidth="1"/>
    <col min="8697" max="8697" width="23.88671875" bestFit="1" customWidth="1"/>
    <col min="8698" max="8698" width="18.109375" customWidth="1"/>
    <col min="8699" max="8699" width="15.109375" bestFit="1" customWidth="1"/>
    <col min="8700" max="8700" width="16.77734375" bestFit="1" customWidth="1"/>
    <col min="8701" max="8701" width="13" bestFit="1" customWidth="1"/>
    <col min="8702" max="8702" width="11.6640625" bestFit="1" customWidth="1"/>
    <col min="8703" max="8703" width="11.88671875" customWidth="1"/>
    <col min="8704" max="8704" width="8.77734375" bestFit="1" customWidth="1"/>
    <col min="8707" max="8707" width="13.44140625" customWidth="1"/>
    <col min="8708" max="8708" width="10.77734375" customWidth="1"/>
    <col min="8953" max="8953" width="23.88671875" bestFit="1" customWidth="1"/>
    <col min="8954" max="8954" width="18.109375" customWidth="1"/>
    <col min="8955" max="8955" width="15.109375" bestFit="1" customWidth="1"/>
    <col min="8956" max="8956" width="16.77734375" bestFit="1" customWidth="1"/>
    <col min="8957" max="8957" width="13" bestFit="1" customWidth="1"/>
    <col min="8958" max="8958" width="11.6640625" bestFit="1" customWidth="1"/>
    <col min="8959" max="8959" width="11.88671875" customWidth="1"/>
    <col min="8960" max="8960" width="8.77734375" bestFit="1" customWidth="1"/>
    <col min="8963" max="8963" width="13.44140625" customWidth="1"/>
    <col min="8964" max="8964" width="10.77734375" customWidth="1"/>
    <col min="9209" max="9209" width="23.88671875" bestFit="1" customWidth="1"/>
    <col min="9210" max="9210" width="18.109375" customWidth="1"/>
    <col min="9211" max="9211" width="15.109375" bestFit="1" customWidth="1"/>
    <col min="9212" max="9212" width="16.77734375" bestFit="1" customWidth="1"/>
    <col min="9213" max="9213" width="13" bestFit="1" customWidth="1"/>
    <col min="9214" max="9214" width="11.6640625" bestFit="1" customWidth="1"/>
    <col min="9215" max="9215" width="11.88671875" customWidth="1"/>
    <col min="9216" max="9216" width="8.77734375" bestFit="1" customWidth="1"/>
    <col min="9219" max="9219" width="13.44140625" customWidth="1"/>
    <col min="9220" max="9220" width="10.77734375" customWidth="1"/>
    <col min="9465" max="9465" width="23.88671875" bestFit="1" customWidth="1"/>
    <col min="9466" max="9466" width="18.109375" customWidth="1"/>
    <col min="9467" max="9467" width="15.109375" bestFit="1" customWidth="1"/>
    <col min="9468" max="9468" width="16.77734375" bestFit="1" customWidth="1"/>
    <col min="9469" max="9469" width="13" bestFit="1" customWidth="1"/>
    <col min="9470" max="9470" width="11.6640625" bestFit="1" customWidth="1"/>
    <col min="9471" max="9471" width="11.88671875" customWidth="1"/>
    <col min="9472" max="9472" width="8.77734375" bestFit="1" customWidth="1"/>
    <col min="9475" max="9475" width="13.44140625" customWidth="1"/>
    <col min="9476" max="9476" width="10.77734375" customWidth="1"/>
    <col min="9721" max="9721" width="23.88671875" bestFit="1" customWidth="1"/>
    <col min="9722" max="9722" width="18.109375" customWidth="1"/>
    <col min="9723" max="9723" width="15.109375" bestFit="1" customWidth="1"/>
    <col min="9724" max="9724" width="16.77734375" bestFit="1" customWidth="1"/>
    <col min="9725" max="9725" width="13" bestFit="1" customWidth="1"/>
    <col min="9726" max="9726" width="11.6640625" bestFit="1" customWidth="1"/>
    <col min="9727" max="9727" width="11.88671875" customWidth="1"/>
    <col min="9728" max="9728" width="8.77734375" bestFit="1" customWidth="1"/>
    <col min="9731" max="9731" width="13.44140625" customWidth="1"/>
    <col min="9732" max="9732" width="10.77734375" customWidth="1"/>
    <col min="9977" max="9977" width="23.88671875" bestFit="1" customWidth="1"/>
    <col min="9978" max="9978" width="18.109375" customWidth="1"/>
    <col min="9979" max="9979" width="15.109375" bestFit="1" customWidth="1"/>
    <col min="9980" max="9980" width="16.77734375" bestFit="1" customWidth="1"/>
    <col min="9981" max="9981" width="13" bestFit="1" customWidth="1"/>
    <col min="9982" max="9982" width="11.6640625" bestFit="1" customWidth="1"/>
    <col min="9983" max="9983" width="11.88671875" customWidth="1"/>
    <col min="9984" max="9984" width="8.77734375" bestFit="1" customWidth="1"/>
    <col min="9987" max="9987" width="13.44140625" customWidth="1"/>
    <col min="9988" max="9988" width="10.77734375" customWidth="1"/>
    <col min="10233" max="10233" width="23.88671875" bestFit="1" customWidth="1"/>
    <col min="10234" max="10234" width="18.109375" customWidth="1"/>
    <col min="10235" max="10235" width="15.109375" bestFit="1" customWidth="1"/>
    <col min="10236" max="10236" width="16.77734375" bestFit="1" customWidth="1"/>
    <col min="10237" max="10237" width="13" bestFit="1" customWidth="1"/>
    <col min="10238" max="10238" width="11.6640625" bestFit="1" customWidth="1"/>
    <col min="10239" max="10239" width="11.88671875" customWidth="1"/>
    <col min="10240" max="10240" width="8.77734375" bestFit="1" customWidth="1"/>
    <col min="10243" max="10243" width="13.44140625" customWidth="1"/>
    <col min="10244" max="10244" width="10.77734375" customWidth="1"/>
    <col min="10489" max="10489" width="23.88671875" bestFit="1" customWidth="1"/>
    <col min="10490" max="10490" width="18.109375" customWidth="1"/>
    <col min="10491" max="10491" width="15.109375" bestFit="1" customWidth="1"/>
    <col min="10492" max="10492" width="16.77734375" bestFit="1" customWidth="1"/>
    <col min="10493" max="10493" width="13" bestFit="1" customWidth="1"/>
    <col min="10494" max="10494" width="11.6640625" bestFit="1" customWidth="1"/>
    <col min="10495" max="10495" width="11.88671875" customWidth="1"/>
    <col min="10496" max="10496" width="8.77734375" bestFit="1" customWidth="1"/>
    <col min="10499" max="10499" width="13.44140625" customWidth="1"/>
    <col min="10500" max="10500" width="10.77734375" customWidth="1"/>
    <col min="10745" max="10745" width="23.88671875" bestFit="1" customWidth="1"/>
    <col min="10746" max="10746" width="18.109375" customWidth="1"/>
    <col min="10747" max="10747" width="15.109375" bestFit="1" customWidth="1"/>
    <col min="10748" max="10748" width="16.77734375" bestFit="1" customWidth="1"/>
    <col min="10749" max="10749" width="13" bestFit="1" customWidth="1"/>
    <col min="10750" max="10750" width="11.6640625" bestFit="1" customWidth="1"/>
    <col min="10751" max="10751" width="11.88671875" customWidth="1"/>
    <col min="10752" max="10752" width="8.77734375" bestFit="1" customWidth="1"/>
    <col min="10755" max="10755" width="13.44140625" customWidth="1"/>
    <col min="10756" max="10756" width="10.77734375" customWidth="1"/>
    <col min="11001" max="11001" width="23.88671875" bestFit="1" customWidth="1"/>
    <col min="11002" max="11002" width="18.109375" customWidth="1"/>
    <col min="11003" max="11003" width="15.109375" bestFit="1" customWidth="1"/>
    <col min="11004" max="11004" width="16.77734375" bestFit="1" customWidth="1"/>
    <col min="11005" max="11005" width="13" bestFit="1" customWidth="1"/>
    <col min="11006" max="11006" width="11.6640625" bestFit="1" customWidth="1"/>
    <col min="11007" max="11007" width="11.88671875" customWidth="1"/>
    <col min="11008" max="11008" width="8.77734375" bestFit="1" customWidth="1"/>
    <col min="11011" max="11011" width="13.44140625" customWidth="1"/>
    <col min="11012" max="11012" width="10.77734375" customWidth="1"/>
    <col min="11257" max="11257" width="23.88671875" bestFit="1" customWidth="1"/>
    <col min="11258" max="11258" width="18.109375" customWidth="1"/>
    <col min="11259" max="11259" width="15.109375" bestFit="1" customWidth="1"/>
    <col min="11260" max="11260" width="16.77734375" bestFit="1" customWidth="1"/>
    <col min="11261" max="11261" width="13" bestFit="1" customWidth="1"/>
    <col min="11262" max="11262" width="11.6640625" bestFit="1" customWidth="1"/>
    <col min="11263" max="11263" width="11.88671875" customWidth="1"/>
    <col min="11264" max="11264" width="8.77734375" bestFit="1" customWidth="1"/>
    <col min="11267" max="11267" width="13.44140625" customWidth="1"/>
    <col min="11268" max="11268" width="10.77734375" customWidth="1"/>
    <col min="11513" max="11513" width="23.88671875" bestFit="1" customWidth="1"/>
    <col min="11514" max="11514" width="18.109375" customWidth="1"/>
    <col min="11515" max="11515" width="15.109375" bestFit="1" customWidth="1"/>
    <col min="11516" max="11516" width="16.77734375" bestFit="1" customWidth="1"/>
    <col min="11517" max="11517" width="13" bestFit="1" customWidth="1"/>
    <col min="11518" max="11518" width="11.6640625" bestFit="1" customWidth="1"/>
    <col min="11519" max="11519" width="11.88671875" customWidth="1"/>
    <col min="11520" max="11520" width="8.77734375" bestFit="1" customWidth="1"/>
    <col min="11523" max="11523" width="13.44140625" customWidth="1"/>
    <col min="11524" max="11524" width="10.77734375" customWidth="1"/>
    <col min="11769" max="11769" width="23.88671875" bestFit="1" customWidth="1"/>
    <col min="11770" max="11770" width="18.109375" customWidth="1"/>
    <col min="11771" max="11771" width="15.109375" bestFit="1" customWidth="1"/>
    <col min="11772" max="11772" width="16.77734375" bestFit="1" customWidth="1"/>
    <col min="11773" max="11773" width="13" bestFit="1" customWidth="1"/>
    <col min="11774" max="11774" width="11.6640625" bestFit="1" customWidth="1"/>
    <col min="11775" max="11775" width="11.88671875" customWidth="1"/>
    <col min="11776" max="11776" width="8.77734375" bestFit="1" customWidth="1"/>
    <col min="11779" max="11779" width="13.44140625" customWidth="1"/>
    <col min="11780" max="11780" width="10.77734375" customWidth="1"/>
    <col min="12025" max="12025" width="23.88671875" bestFit="1" customWidth="1"/>
    <col min="12026" max="12026" width="18.109375" customWidth="1"/>
    <col min="12027" max="12027" width="15.109375" bestFit="1" customWidth="1"/>
    <col min="12028" max="12028" width="16.77734375" bestFit="1" customWidth="1"/>
    <col min="12029" max="12029" width="13" bestFit="1" customWidth="1"/>
    <col min="12030" max="12030" width="11.6640625" bestFit="1" customWidth="1"/>
    <col min="12031" max="12031" width="11.88671875" customWidth="1"/>
    <col min="12032" max="12032" width="8.77734375" bestFit="1" customWidth="1"/>
    <col min="12035" max="12035" width="13.44140625" customWidth="1"/>
    <col min="12036" max="12036" width="10.77734375" customWidth="1"/>
    <col min="12281" max="12281" width="23.88671875" bestFit="1" customWidth="1"/>
    <col min="12282" max="12282" width="18.109375" customWidth="1"/>
    <col min="12283" max="12283" width="15.109375" bestFit="1" customWidth="1"/>
    <col min="12284" max="12284" width="16.77734375" bestFit="1" customWidth="1"/>
    <col min="12285" max="12285" width="13" bestFit="1" customWidth="1"/>
    <col min="12286" max="12286" width="11.6640625" bestFit="1" customWidth="1"/>
    <col min="12287" max="12287" width="11.88671875" customWidth="1"/>
    <col min="12288" max="12288" width="8.77734375" bestFit="1" customWidth="1"/>
    <col min="12291" max="12291" width="13.44140625" customWidth="1"/>
    <col min="12292" max="12292" width="10.77734375" customWidth="1"/>
    <col min="12537" max="12537" width="23.88671875" bestFit="1" customWidth="1"/>
    <col min="12538" max="12538" width="18.109375" customWidth="1"/>
    <col min="12539" max="12539" width="15.109375" bestFit="1" customWidth="1"/>
    <col min="12540" max="12540" width="16.77734375" bestFit="1" customWidth="1"/>
    <col min="12541" max="12541" width="13" bestFit="1" customWidth="1"/>
    <col min="12542" max="12542" width="11.6640625" bestFit="1" customWidth="1"/>
    <col min="12543" max="12543" width="11.88671875" customWidth="1"/>
    <col min="12544" max="12544" width="8.77734375" bestFit="1" customWidth="1"/>
    <col min="12547" max="12547" width="13.44140625" customWidth="1"/>
    <col min="12548" max="12548" width="10.77734375" customWidth="1"/>
    <col min="12793" max="12793" width="23.88671875" bestFit="1" customWidth="1"/>
    <col min="12794" max="12794" width="18.109375" customWidth="1"/>
    <col min="12795" max="12795" width="15.109375" bestFit="1" customWidth="1"/>
    <col min="12796" max="12796" width="16.77734375" bestFit="1" customWidth="1"/>
    <col min="12797" max="12797" width="13" bestFit="1" customWidth="1"/>
    <col min="12798" max="12798" width="11.6640625" bestFit="1" customWidth="1"/>
    <col min="12799" max="12799" width="11.88671875" customWidth="1"/>
    <col min="12800" max="12800" width="8.77734375" bestFit="1" customWidth="1"/>
    <col min="12803" max="12803" width="13.44140625" customWidth="1"/>
    <col min="12804" max="12804" width="10.77734375" customWidth="1"/>
    <col min="13049" max="13049" width="23.88671875" bestFit="1" customWidth="1"/>
    <col min="13050" max="13050" width="18.109375" customWidth="1"/>
    <col min="13051" max="13051" width="15.109375" bestFit="1" customWidth="1"/>
    <col min="13052" max="13052" width="16.77734375" bestFit="1" customWidth="1"/>
    <col min="13053" max="13053" width="13" bestFit="1" customWidth="1"/>
    <col min="13054" max="13054" width="11.6640625" bestFit="1" customWidth="1"/>
    <col min="13055" max="13055" width="11.88671875" customWidth="1"/>
    <col min="13056" max="13056" width="8.77734375" bestFit="1" customWidth="1"/>
    <col min="13059" max="13059" width="13.44140625" customWidth="1"/>
    <col min="13060" max="13060" width="10.77734375" customWidth="1"/>
    <col min="13305" max="13305" width="23.88671875" bestFit="1" customWidth="1"/>
    <col min="13306" max="13306" width="18.109375" customWidth="1"/>
    <col min="13307" max="13307" width="15.109375" bestFit="1" customWidth="1"/>
    <col min="13308" max="13308" width="16.77734375" bestFit="1" customWidth="1"/>
    <col min="13309" max="13309" width="13" bestFit="1" customWidth="1"/>
    <col min="13310" max="13310" width="11.6640625" bestFit="1" customWidth="1"/>
    <col min="13311" max="13311" width="11.88671875" customWidth="1"/>
    <col min="13312" max="13312" width="8.77734375" bestFit="1" customWidth="1"/>
    <col min="13315" max="13315" width="13.44140625" customWidth="1"/>
    <col min="13316" max="13316" width="10.77734375" customWidth="1"/>
    <col min="13561" max="13561" width="23.88671875" bestFit="1" customWidth="1"/>
    <col min="13562" max="13562" width="18.109375" customWidth="1"/>
    <col min="13563" max="13563" width="15.109375" bestFit="1" customWidth="1"/>
    <col min="13564" max="13564" width="16.77734375" bestFit="1" customWidth="1"/>
    <col min="13565" max="13565" width="13" bestFit="1" customWidth="1"/>
    <col min="13566" max="13566" width="11.6640625" bestFit="1" customWidth="1"/>
    <col min="13567" max="13567" width="11.88671875" customWidth="1"/>
    <col min="13568" max="13568" width="8.77734375" bestFit="1" customWidth="1"/>
    <col min="13571" max="13571" width="13.44140625" customWidth="1"/>
    <col min="13572" max="13572" width="10.77734375" customWidth="1"/>
    <col min="13817" max="13817" width="23.88671875" bestFit="1" customWidth="1"/>
    <col min="13818" max="13818" width="18.109375" customWidth="1"/>
    <col min="13819" max="13819" width="15.109375" bestFit="1" customWidth="1"/>
    <col min="13820" max="13820" width="16.77734375" bestFit="1" customWidth="1"/>
    <col min="13821" max="13821" width="13" bestFit="1" customWidth="1"/>
    <col min="13822" max="13822" width="11.6640625" bestFit="1" customWidth="1"/>
    <col min="13823" max="13823" width="11.88671875" customWidth="1"/>
    <col min="13824" max="13824" width="8.77734375" bestFit="1" customWidth="1"/>
    <col min="13827" max="13827" width="13.44140625" customWidth="1"/>
    <col min="13828" max="13828" width="10.77734375" customWidth="1"/>
    <col min="14073" max="14073" width="23.88671875" bestFit="1" customWidth="1"/>
    <col min="14074" max="14074" width="18.109375" customWidth="1"/>
    <col min="14075" max="14075" width="15.109375" bestFit="1" customWidth="1"/>
    <col min="14076" max="14076" width="16.77734375" bestFit="1" customWidth="1"/>
    <col min="14077" max="14077" width="13" bestFit="1" customWidth="1"/>
    <col min="14078" max="14078" width="11.6640625" bestFit="1" customWidth="1"/>
    <col min="14079" max="14079" width="11.88671875" customWidth="1"/>
    <col min="14080" max="14080" width="8.77734375" bestFit="1" customWidth="1"/>
    <col min="14083" max="14083" width="13.44140625" customWidth="1"/>
    <col min="14084" max="14084" width="10.77734375" customWidth="1"/>
    <col min="14329" max="14329" width="23.88671875" bestFit="1" customWidth="1"/>
    <col min="14330" max="14330" width="18.109375" customWidth="1"/>
    <col min="14331" max="14331" width="15.109375" bestFit="1" customWidth="1"/>
    <col min="14332" max="14332" width="16.77734375" bestFit="1" customWidth="1"/>
    <col min="14333" max="14333" width="13" bestFit="1" customWidth="1"/>
    <col min="14334" max="14334" width="11.6640625" bestFit="1" customWidth="1"/>
    <col min="14335" max="14335" width="11.88671875" customWidth="1"/>
    <col min="14336" max="14336" width="8.77734375" bestFit="1" customWidth="1"/>
    <col min="14339" max="14339" width="13.44140625" customWidth="1"/>
    <col min="14340" max="14340" width="10.77734375" customWidth="1"/>
    <col min="14585" max="14585" width="23.88671875" bestFit="1" customWidth="1"/>
    <col min="14586" max="14586" width="18.109375" customWidth="1"/>
    <col min="14587" max="14587" width="15.109375" bestFit="1" customWidth="1"/>
    <col min="14588" max="14588" width="16.77734375" bestFit="1" customWidth="1"/>
    <col min="14589" max="14589" width="13" bestFit="1" customWidth="1"/>
    <col min="14590" max="14590" width="11.6640625" bestFit="1" customWidth="1"/>
    <col min="14591" max="14591" width="11.88671875" customWidth="1"/>
    <col min="14592" max="14592" width="8.77734375" bestFit="1" customWidth="1"/>
    <col min="14595" max="14595" width="13.44140625" customWidth="1"/>
    <col min="14596" max="14596" width="10.77734375" customWidth="1"/>
    <col min="14841" max="14841" width="23.88671875" bestFit="1" customWidth="1"/>
    <col min="14842" max="14842" width="18.109375" customWidth="1"/>
    <col min="14843" max="14843" width="15.109375" bestFit="1" customWidth="1"/>
    <col min="14844" max="14844" width="16.77734375" bestFit="1" customWidth="1"/>
    <col min="14845" max="14845" width="13" bestFit="1" customWidth="1"/>
    <col min="14846" max="14846" width="11.6640625" bestFit="1" customWidth="1"/>
    <col min="14847" max="14847" width="11.88671875" customWidth="1"/>
    <col min="14848" max="14848" width="8.77734375" bestFit="1" customWidth="1"/>
    <col min="14851" max="14851" width="13.44140625" customWidth="1"/>
    <col min="14852" max="14852" width="10.77734375" customWidth="1"/>
    <col min="15097" max="15097" width="23.88671875" bestFit="1" customWidth="1"/>
    <col min="15098" max="15098" width="18.109375" customWidth="1"/>
    <col min="15099" max="15099" width="15.109375" bestFit="1" customWidth="1"/>
    <col min="15100" max="15100" width="16.77734375" bestFit="1" customWidth="1"/>
    <col min="15101" max="15101" width="13" bestFit="1" customWidth="1"/>
    <col min="15102" max="15102" width="11.6640625" bestFit="1" customWidth="1"/>
    <col min="15103" max="15103" width="11.88671875" customWidth="1"/>
    <col min="15104" max="15104" width="8.77734375" bestFit="1" customWidth="1"/>
    <col min="15107" max="15107" width="13.44140625" customWidth="1"/>
    <col min="15108" max="15108" width="10.77734375" customWidth="1"/>
    <col min="15353" max="15353" width="23.88671875" bestFit="1" customWidth="1"/>
    <col min="15354" max="15354" width="18.109375" customWidth="1"/>
    <col min="15355" max="15355" width="15.109375" bestFit="1" customWidth="1"/>
    <col min="15356" max="15356" width="16.77734375" bestFit="1" customWidth="1"/>
    <col min="15357" max="15357" width="13" bestFit="1" customWidth="1"/>
    <col min="15358" max="15358" width="11.6640625" bestFit="1" customWidth="1"/>
    <col min="15359" max="15359" width="11.88671875" customWidth="1"/>
    <col min="15360" max="15360" width="8.77734375" bestFit="1" customWidth="1"/>
    <col min="15363" max="15363" width="13.44140625" customWidth="1"/>
    <col min="15364" max="15364" width="10.77734375" customWidth="1"/>
    <col min="15609" max="15609" width="23.88671875" bestFit="1" customWidth="1"/>
    <col min="15610" max="15610" width="18.109375" customWidth="1"/>
    <col min="15611" max="15611" width="15.109375" bestFit="1" customWidth="1"/>
    <col min="15612" max="15612" width="16.77734375" bestFit="1" customWidth="1"/>
    <col min="15613" max="15613" width="13" bestFit="1" customWidth="1"/>
    <col min="15614" max="15614" width="11.6640625" bestFit="1" customWidth="1"/>
    <col min="15615" max="15615" width="11.88671875" customWidth="1"/>
    <col min="15616" max="15616" width="8.77734375" bestFit="1" customWidth="1"/>
    <col min="15619" max="15619" width="13.44140625" customWidth="1"/>
    <col min="15620" max="15620" width="10.77734375" customWidth="1"/>
    <col min="15865" max="15865" width="23.88671875" bestFit="1" customWidth="1"/>
    <col min="15866" max="15866" width="18.109375" customWidth="1"/>
    <col min="15867" max="15867" width="15.109375" bestFit="1" customWidth="1"/>
    <col min="15868" max="15868" width="16.77734375" bestFit="1" customWidth="1"/>
    <col min="15869" max="15869" width="13" bestFit="1" customWidth="1"/>
    <col min="15870" max="15870" width="11.6640625" bestFit="1" customWidth="1"/>
    <col min="15871" max="15871" width="11.88671875" customWidth="1"/>
    <col min="15872" max="15872" width="8.77734375" bestFit="1" customWidth="1"/>
    <col min="15875" max="15875" width="13.44140625" customWidth="1"/>
    <col min="15876" max="15876" width="10.77734375" customWidth="1"/>
    <col min="16121" max="16121" width="23.88671875" bestFit="1" customWidth="1"/>
    <col min="16122" max="16122" width="18.109375" customWidth="1"/>
    <col min="16123" max="16123" width="15.109375" bestFit="1" customWidth="1"/>
    <col min="16124" max="16124" width="16.77734375" bestFit="1" customWidth="1"/>
    <col min="16125" max="16125" width="13" bestFit="1" customWidth="1"/>
    <col min="16126" max="16126" width="11.6640625" bestFit="1" customWidth="1"/>
    <col min="16127" max="16127" width="11.88671875" customWidth="1"/>
    <col min="16128" max="16128" width="8.77734375" bestFit="1" customWidth="1"/>
    <col min="16131" max="16131" width="13.44140625" customWidth="1"/>
    <col min="16132" max="16132" width="10.77734375" customWidth="1"/>
  </cols>
  <sheetData>
    <row r="1" spans="1:7" x14ac:dyDescent="0.25">
      <c r="A1" s="184" t="s">
        <v>69</v>
      </c>
      <c r="B1" s="185"/>
      <c r="C1" s="185"/>
      <c r="D1" s="185"/>
      <c r="E1" s="185"/>
      <c r="F1" s="185"/>
      <c r="G1" s="186"/>
    </row>
    <row r="2" spans="1:7" x14ac:dyDescent="0.25">
      <c r="A2" s="1"/>
      <c r="C2" s="2"/>
      <c r="D2" s="144"/>
      <c r="E2" s="145"/>
      <c r="F2" s="145"/>
      <c r="G2" s="146"/>
    </row>
    <row r="3" spans="1:7" x14ac:dyDescent="0.25">
      <c r="A3" s="1"/>
      <c r="B3" s="5" t="s">
        <v>0</v>
      </c>
      <c r="C3" s="6">
        <v>1187536.9099999999</v>
      </c>
      <c r="D3" s="7" t="s">
        <v>1</v>
      </c>
      <c r="E3" s="3"/>
      <c r="F3" s="3"/>
      <c r="G3" s="147"/>
    </row>
    <row r="4" spans="1:7" x14ac:dyDescent="0.25">
      <c r="A4" s="1"/>
      <c r="B4" s="9" t="s">
        <v>2</v>
      </c>
      <c r="C4" s="10">
        <v>-30.16</v>
      </c>
      <c r="D4" s="11">
        <f>C6</f>
        <v>-890630.06</v>
      </c>
      <c r="E4" s="12" t="s">
        <v>3</v>
      </c>
      <c r="F4" s="3"/>
      <c r="G4" s="148"/>
    </row>
    <row r="5" spans="1:7" x14ac:dyDescent="0.25">
      <c r="A5" s="14"/>
      <c r="B5" s="5" t="s">
        <v>4</v>
      </c>
      <c r="C5" s="6">
        <f>C3+C4</f>
        <v>1187506.75</v>
      </c>
      <c r="D5" s="15">
        <f>C7</f>
        <v>-0.05</v>
      </c>
      <c r="E5" s="12" t="s">
        <v>5</v>
      </c>
      <c r="F5" s="3"/>
      <c r="G5" s="147"/>
    </row>
    <row r="6" spans="1:7" x14ac:dyDescent="0.25">
      <c r="A6" s="14"/>
      <c r="B6" s="16" t="s">
        <v>6</v>
      </c>
      <c r="C6" s="17">
        <f>ROUND(-1*(0.75*C5),2)</f>
        <v>-890630.06</v>
      </c>
      <c r="D6" s="18">
        <f>D4+D5</f>
        <v>-890630.1100000001</v>
      </c>
      <c r="E6" s="19" t="s">
        <v>7</v>
      </c>
      <c r="F6" s="3"/>
      <c r="G6" s="147"/>
    </row>
    <row r="7" spans="1:7" x14ac:dyDescent="0.25">
      <c r="A7" s="1"/>
      <c r="B7" s="20" t="s">
        <v>8</v>
      </c>
      <c r="C7" s="21">
        <v>-0.05</v>
      </c>
      <c r="D7" s="15">
        <v>-0.01</v>
      </c>
      <c r="E7" s="12" t="s">
        <v>64</v>
      </c>
      <c r="F7" s="3"/>
      <c r="G7" s="148"/>
    </row>
    <row r="8" spans="1:7" x14ac:dyDescent="0.25">
      <c r="A8" s="1"/>
      <c r="B8" s="20" t="s">
        <v>9</v>
      </c>
      <c r="C8" s="123">
        <v>0</v>
      </c>
      <c r="D8" s="22">
        <f>D6+D7</f>
        <v>-890630.12000000011</v>
      </c>
      <c r="E8" s="19" t="s">
        <v>10</v>
      </c>
      <c r="F8" s="3"/>
      <c r="G8" s="148"/>
    </row>
    <row r="9" spans="1:7" x14ac:dyDescent="0.25">
      <c r="A9" s="1"/>
      <c r="B9" s="23" t="s">
        <v>53</v>
      </c>
      <c r="C9" s="24">
        <f>SUM(C5:C8)</f>
        <v>296876.63999999996</v>
      </c>
      <c r="D9" s="11">
        <f>D8*-1</f>
        <v>890630.12000000011</v>
      </c>
      <c r="E9" s="12" t="s">
        <v>10</v>
      </c>
      <c r="F9" s="3"/>
      <c r="G9" s="148"/>
    </row>
    <row r="10" spans="1:7" ht="26.25" x14ac:dyDescent="0.25">
      <c r="A10" s="1">
        <f>(919590.07+285.68-802.74)/2206161.59</f>
        <v>0.41659369565943721</v>
      </c>
      <c r="B10" s="25" t="s">
        <v>12</v>
      </c>
      <c r="C10" s="26">
        <f>A10*1</f>
        <v>0.41659369565943721</v>
      </c>
      <c r="D10" s="27">
        <f>C14</f>
        <v>70901.64</v>
      </c>
      <c r="E10" s="28" t="s">
        <v>13</v>
      </c>
      <c r="F10" s="28"/>
      <c r="G10" s="148"/>
    </row>
    <row r="11" spans="1:7" ht="27" x14ac:dyDescent="0.3">
      <c r="A11" s="113">
        <f>(1431327.28+15182-1108.74+559.68)/2206161.59</f>
        <v>0.65541899856936592</v>
      </c>
      <c r="B11" s="114" t="s">
        <v>14</v>
      </c>
      <c r="C11" s="115">
        <f>A11*1</f>
        <v>0.65541899856936592</v>
      </c>
      <c r="D11" s="29">
        <f>D9+D10</f>
        <v>961531.76000000013</v>
      </c>
      <c r="E11" s="30" t="s">
        <v>15</v>
      </c>
      <c r="F11" s="31"/>
      <c r="G11" s="149"/>
    </row>
    <row r="12" spans="1:7" x14ac:dyDescent="0.25">
      <c r="A12" s="1"/>
      <c r="B12" s="33"/>
      <c r="C12" s="3"/>
      <c r="D12" s="34" t="s">
        <v>16</v>
      </c>
      <c r="E12" s="35"/>
      <c r="F12" s="36"/>
      <c r="G12" s="148"/>
    </row>
    <row r="13" spans="1:7" x14ac:dyDescent="0.25">
      <c r="A13" s="118"/>
      <c r="B13" s="119" t="s">
        <v>17</v>
      </c>
      <c r="C13" s="120">
        <f>(C5+C6+C7)*C10+0.01</f>
        <v>123676.94661255628</v>
      </c>
      <c r="D13" s="11">
        <f>C5</f>
        <v>1187506.75</v>
      </c>
      <c r="E13" s="12" t="s">
        <v>4</v>
      </c>
      <c r="F13" s="4"/>
      <c r="G13" s="148"/>
    </row>
    <row r="14" spans="1:7" x14ac:dyDescent="0.25">
      <c r="A14" s="1"/>
      <c r="B14" s="23" t="s">
        <v>18</v>
      </c>
      <c r="C14" s="121">
        <f>ROUNDUP((C9*C11)-C13,2)-0.01</f>
        <v>70901.64</v>
      </c>
      <c r="D14" s="15">
        <f>-C13</f>
        <v>-123676.94661255628</v>
      </c>
      <c r="E14" s="37" t="s">
        <v>19</v>
      </c>
      <c r="F14" s="4"/>
      <c r="G14" s="148"/>
    </row>
    <row r="15" spans="1:7" x14ac:dyDescent="0.25">
      <c r="A15" s="1"/>
      <c r="B15" s="33" t="s">
        <v>20</v>
      </c>
      <c r="C15" s="21"/>
      <c r="D15" s="18">
        <f>SUM(D12:D14)</f>
        <v>1063829.8033874438</v>
      </c>
      <c r="E15" s="38" t="s">
        <v>21</v>
      </c>
      <c r="F15" s="39"/>
      <c r="G15" s="148"/>
    </row>
    <row r="16" spans="1:7" x14ac:dyDescent="0.25">
      <c r="A16" s="1"/>
      <c r="B16" s="33"/>
      <c r="C16" s="21"/>
      <c r="D16" s="11">
        <f>D8</f>
        <v>-890630.12000000011</v>
      </c>
      <c r="E16" s="12" t="s">
        <v>73</v>
      </c>
      <c r="F16" s="4"/>
      <c r="G16" s="148"/>
    </row>
    <row r="17" spans="1:7" x14ac:dyDescent="0.25">
      <c r="A17" s="1"/>
      <c r="B17" s="23" t="s">
        <v>72</v>
      </c>
      <c r="C17" s="40">
        <f>C9-SUM(C13:C16)</f>
        <v>102298.05338744368</v>
      </c>
      <c r="D17" s="11">
        <f>-D10</f>
        <v>-70901.64</v>
      </c>
      <c r="E17" s="12" t="s">
        <v>23</v>
      </c>
      <c r="F17" s="4"/>
      <c r="G17" s="148"/>
    </row>
    <row r="18" spans="1:7" x14ac:dyDescent="0.25">
      <c r="A18" s="41"/>
      <c r="B18" s="38"/>
      <c r="C18" s="3"/>
      <c r="D18" s="15">
        <v>0.01</v>
      </c>
      <c r="E18" s="12" t="s">
        <v>74</v>
      </c>
      <c r="F18" s="4"/>
      <c r="G18" s="148"/>
    </row>
    <row r="19" spans="1:7" x14ac:dyDescent="0.25">
      <c r="A19" s="182"/>
      <c r="B19" s="43"/>
      <c r="C19" s="44"/>
      <c r="D19" s="42">
        <f>SUM(D15:D18)</f>
        <v>102298.05338744365</v>
      </c>
      <c r="E19" s="28" t="s">
        <v>24</v>
      </c>
      <c r="F19" s="4"/>
      <c r="G19" s="148"/>
    </row>
    <row r="20" spans="1:7" x14ac:dyDescent="0.25">
      <c r="A20" s="1"/>
      <c r="B20" s="12"/>
      <c r="C20" s="45"/>
      <c r="D20" s="15"/>
      <c r="E20" s="46"/>
      <c r="F20" s="47"/>
      <c r="G20" s="148"/>
    </row>
    <row r="21" spans="1:7" x14ac:dyDescent="0.25">
      <c r="A21" s="48"/>
      <c r="B21" s="49"/>
      <c r="C21" s="50"/>
      <c r="D21" s="152"/>
      <c r="E21" s="150"/>
      <c r="F21" s="153"/>
      <c r="G21" s="151"/>
    </row>
    <row r="22" spans="1:7" x14ac:dyDescent="0.25">
      <c r="D22" s="55"/>
      <c r="E22" s="56"/>
      <c r="F22" s="57"/>
    </row>
    <row r="23" spans="1:7" x14ac:dyDescent="0.25">
      <c r="A23" s="58" t="s">
        <v>60</v>
      </c>
      <c r="B23" s="59"/>
      <c r="C23" s="187" t="s">
        <v>59</v>
      </c>
      <c r="D23" s="188"/>
      <c r="E23" s="62" t="s">
        <v>26</v>
      </c>
      <c r="F23" s="62" t="s">
        <v>27</v>
      </c>
      <c r="G23" s="64"/>
    </row>
    <row r="24" spans="1:7" x14ac:dyDescent="0.25">
      <c r="A24" s="14"/>
      <c r="B24" s="166" t="s">
        <v>28</v>
      </c>
      <c r="C24" s="163" t="s">
        <v>29</v>
      </c>
      <c r="D24" s="164" t="s">
        <v>30</v>
      </c>
      <c r="E24" s="68" t="s">
        <v>31</v>
      </c>
      <c r="F24" s="68" t="s">
        <v>31</v>
      </c>
      <c r="G24" s="165" t="s">
        <v>32</v>
      </c>
    </row>
    <row r="25" spans="1:7" x14ac:dyDescent="0.25">
      <c r="A25" s="71" t="s">
        <v>33</v>
      </c>
      <c r="B25" s="72">
        <v>0</v>
      </c>
      <c r="C25" s="73">
        <v>0</v>
      </c>
      <c r="D25" s="74">
        <v>0</v>
      </c>
      <c r="E25" s="75">
        <v>0</v>
      </c>
      <c r="F25" s="75">
        <v>0</v>
      </c>
      <c r="G25" s="76">
        <f>B25-SUM(C25:F25)</f>
        <v>0</v>
      </c>
    </row>
    <row r="26" spans="1:7" x14ac:dyDescent="0.25">
      <c r="A26" s="77" t="s">
        <v>34</v>
      </c>
      <c r="B26" s="78">
        <f>C4</f>
        <v>-30.16</v>
      </c>
      <c r="C26" s="167"/>
      <c r="D26" s="80"/>
      <c r="E26" s="81"/>
      <c r="F26" s="81"/>
      <c r="G26" s="171"/>
    </row>
    <row r="27" spans="1:7" x14ac:dyDescent="0.25">
      <c r="A27" s="83" t="s">
        <v>35</v>
      </c>
      <c r="B27" s="78">
        <f>C3</f>
        <v>1187536.9099999999</v>
      </c>
      <c r="C27" s="168"/>
      <c r="D27" s="85"/>
      <c r="E27" s="75"/>
      <c r="F27" s="75"/>
      <c r="G27" s="172"/>
    </row>
    <row r="28" spans="1:7" x14ac:dyDescent="0.25">
      <c r="A28" s="71" t="s">
        <v>36</v>
      </c>
      <c r="B28" s="87">
        <f>B26+B27</f>
        <v>1187506.75</v>
      </c>
      <c r="C28" s="73">
        <f>(B28+B29+B30)*C45</f>
        <v>123676.93661255628</v>
      </c>
      <c r="D28" s="88">
        <f>ROUND(((B28+B29+B30+B31)*D45)-C28-B29-B30-B31,2)-0.01</f>
        <v>961531.76</v>
      </c>
      <c r="E28" s="75">
        <v>0</v>
      </c>
      <c r="F28" s="75">
        <v>0</v>
      </c>
      <c r="G28" s="75">
        <f>B28-SUM(C28:F28)-B31</f>
        <v>102298.06338744376</v>
      </c>
    </row>
    <row r="29" spans="1:7" x14ac:dyDescent="0.25">
      <c r="A29" s="116" t="s">
        <v>45</v>
      </c>
      <c r="B29" s="89">
        <f>C6</f>
        <v>-890630.06</v>
      </c>
      <c r="C29" s="169"/>
      <c r="D29" s="91"/>
      <c r="E29" s="4"/>
      <c r="F29" s="4"/>
      <c r="G29" s="173">
        <v>0</v>
      </c>
    </row>
    <row r="30" spans="1:7" x14ac:dyDescent="0.25">
      <c r="A30" s="116" t="s">
        <v>46</v>
      </c>
      <c r="B30" s="89">
        <f>C7</f>
        <v>-0.05</v>
      </c>
      <c r="C30" s="169"/>
      <c r="D30" s="91"/>
      <c r="E30" s="4"/>
      <c r="F30" s="4"/>
      <c r="G30" s="173"/>
    </row>
    <row r="31" spans="1:7" x14ac:dyDescent="0.25">
      <c r="A31" s="93" t="s">
        <v>47</v>
      </c>
      <c r="B31" s="94">
        <v>-0.01</v>
      </c>
      <c r="C31" s="168"/>
      <c r="D31" s="85"/>
      <c r="E31" s="75"/>
      <c r="F31" s="75"/>
      <c r="G31" s="174"/>
    </row>
    <row r="32" spans="1:7" x14ac:dyDescent="0.25">
      <c r="A32" s="95" t="s">
        <v>37</v>
      </c>
      <c r="B32" s="96">
        <f>B29+B30+B31</f>
        <v>-890630.12000000011</v>
      </c>
      <c r="C32" s="170"/>
      <c r="D32" s="98">
        <f>D9</f>
        <v>890630.12000000011</v>
      </c>
      <c r="E32" s="99">
        <v>0</v>
      </c>
      <c r="F32" s="99">
        <v>0</v>
      </c>
      <c r="G32" s="175">
        <f>B32+C32+D32+E32+F32</f>
        <v>0</v>
      </c>
    </row>
    <row r="33" spans="1:7" x14ac:dyDescent="0.25">
      <c r="A33" s="77" t="s">
        <v>38</v>
      </c>
      <c r="B33" s="78">
        <v>751048.82</v>
      </c>
      <c r="C33" s="78">
        <f>B33*$C$45</f>
        <v>312882.20354445942</v>
      </c>
      <c r="D33" s="78">
        <f>ROUNDDOWN(($B33*D$45)-C33,2)</f>
        <v>179369.46</v>
      </c>
      <c r="E33" s="8">
        <v>0</v>
      </c>
      <c r="F33" s="101">
        <v>0</v>
      </c>
      <c r="G33" s="102">
        <f t="shared" ref="G33:G39" si="0">B33-SUM(C33:F33)</f>
        <v>258797.15645554056</v>
      </c>
    </row>
    <row r="34" spans="1:7" x14ac:dyDescent="0.25">
      <c r="A34" s="77" t="s">
        <v>39</v>
      </c>
      <c r="B34" s="78">
        <v>855854.1</v>
      </c>
      <c r="C34" s="78">
        <f>B34*$C$45</f>
        <v>356543.42246428155</v>
      </c>
      <c r="D34" s="78">
        <f>ROUND(($B34*D$45)-C34,2)+0.01</f>
        <v>204399.62</v>
      </c>
      <c r="E34" s="8">
        <v>0</v>
      </c>
      <c r="F34" s="101">
        <v>0</v>
      </c>
      <c r="G34" s="103">
        <f t="shared" si="0"/>
        <v>294911.05753571843</v>
      </c>
    </row>
    <row r="35" spans="1:7" x14ac:dyDescent="0.25">
      <c r="A35" s="77" t="s">
        <v>40</v>
      </c>
      <c r="B35" s="78">
        <v>35726.589999999997</v>
      </c>
      <c r="C35" s="78">
        <f>B35*$C$45</f>
        <v>14883.472161409491</v>
      </c>
      <c r="D35" s="78">
        <f>ROUND(($B35*D$45)-C35,2)+0.01</f>
        <v>8532.42</v>
      </c>
      <c r="E35" s="8">
        <v>0</v>
      </c>
      <c r="F35" s="101">
        <v>0</v>
      </c>
      <c r="G35" s="103">
        <f t="shared" si="0"/>
        <v>12310.697838590506</v>
      </c>
    </row>
    <row r="36" spans="1:7" x14ac:dyDescent="0.25">
      <c r="A36" s="77" t="s">
        <v>41</v>
      </c>
      <c r="B36" s="78">
        <v>69746</v>
      </c>
      <c r="C36" s="78">
        <f>B36*$C$45</f>
        <v>29055.743897463108</v>
      </c>
      <c r="D36" s="78">
        <f>ROUNDDOWN(($B36*D$45)-C36,2)+0.01</f>
        <v>16657.109999999997</v>
      </c>
      <c r="E36" s="10">
        <v>0</v>
      </c>
      <c r="F36" s="75">
        <v>0</v>
      </c>
      <c r="G36" s="104">
        <f t="shared" si="0"/>
        <v>24033.146102536892</v>
      </c>
    </row>
    <row r="37" spans="1:7" x14ac:dyDescent="0.25">
      <c r="A37" s="95" t="s">
        <v>42</v>
      </c>
      <c r="B37" s="105">
        <f>SUM(B33:B36)</f>
        <v>1712375.51</v>
      </c>
      <c r="C37" s="106">
        <f>SUM(C33:C36)</f>
        <v>713364.8420676135</v>
      </c>
      <c r="D37" s="106">
        <f>SUM(D33:D36)</f>
        <v>408958.60999999993</v>
      </c>
      <c r="E37" s="106">
        <f>SUM(E33:E36)</f>
        <v>0</v>
      </c>
      <c r="F37" s="106">
        <f>SUM(F33:F36)</f>
        <v>0</v>
      </c>
      <c r="G37" s="105">
        <f t="shared" si="0"/>
        <v>590052.05793238664</v>
      </c>
    </row>
    <row r="38" spans="1:7" x14ac:dyDescent="0.25">
      <c r="A38" s="71" t="s">
        <v>43</v>
      </c>
      <c r="B38" s="72">
        <v>196909.44</v>
      </c>
      <c r="C38" s="72">
        <f>B38*$C$45</f>
        <v>82031.231319830214</v>
      </c>
      <c r="D38" s="78">
        <f t="shared" ref="D38" si="1">($B38*D$45)-C38</f>
        <v>47026.956653824425</v>
      </c>
      <c r="E38" s="75">
        <v>0</v>
      </c>
      <c r="F38" s="75">
        <v>0</v>
      </c>
      <c r="G38" s="76">
        <f t="shared" si="0"/>
        <v>67851.252026345363</v>
      </c>
    </row>
    <row r="39" spans="1:7" x14ac:dyDescent="0.25">
      <c r="A39" s="71" t="s">
        <v>44</v>
      </c>
      <c r="B39" s="107">
        <f>B25+B28+B29+B30+B37+B38</f>
        <v>2206161.59</v>
      </c>
      <c r="C39" s="107">
        <f>C25+C28+C32+C37+C38</f>
        <v>919073.00999999989</v>
      </c>
      <c r="D39" s="98">
        <f>D25+D28-D32+D37+D38</f>
        <v>526887.20665382431</v>
      </c>
      <c r="E39" s="108">
        <f>E25+E28+E32+E37+E38</f>
        <v>0</v>
      </c>
      <c r="F39" s="108">
        <f>F25+F28+F32+F37+F38</f>
        <v>0</v>
      </c>
      <c r="G39" s="105">
        <f t="shared" si="0"/>
        <v>760201.37334617553</v>
      </c>
    </row>
    <row r="40" spans="1:7" x14ac:dyDescent="0.25">
      <c r="E40" s="109"/>
      <c r="G40" s="110"/>
    </row>
    <row r="41" spans="1:7" x14ac:dyDescent="0.25">
      <c r="A41" s="5" t="s">
        <v>48</v>
      </c>
      <c r="C41" s="38">
        <v>919875.75</v>
      </c>
      <c r="D41" s="38">
        <f>1431327.28+15182</f>
        <v>1446509.28</v>
      </c>
      <c r="E41" s="110"/>
    </row>
    <row r="42" spans="1:7" x14ac:dyDescent="0.25">
      <c r="A42" s="122" t="s">
        <v>50</v>
      </c>
      <c r="C42" s="38">
        <v>-802.74</v>
      </c>
      <c r="D42" s="38">
        <v>-1108.74</v>
      </c>
      <c r="E42" s="111"/>
      <c r="F42" s="112"/>
    </row>
    <row r="43" spans="1:7" x14ac:dyDescent="0.25">
      <c r="A43" s="176" t="s">
        <v>55</v>
      </c>
      <c r="C43" s="183">
        <v>0</v>
      </c>
      <c r="D43" s="38">
        <v>559.67999999999995</v>
      </c>
      <c r="E43" s="111"/>
      <c r="F43" s="112"/>
    </row>
    <row r="44" spans="1:7" x14ac:dyDescent="0.25">
      <c r="A44" s="5" t="s">
        <v>49</v>
      </c>
      <c r="C44" s="38">
        <f>SUM(C41:C42)</f>
        <v>919073.01</v>
      </c>
      <c r="D44" s="38">
        <f>D41+D42+D43</f>
        <v>1445960.22</v>
      </c>
      <c r="E44" s="110"/>
    </row>
    <row r="45" spans="1:7" x14ac:dyDescent="0.25">
      <c r="C45" s="117">
        <f>C44/$B$39</f>
        <v>0.41659369565943721</v>
      </c>
      <c r="D45" s="117">
        <f>D44/$B$39</f>
        <v>0.65541899856936592</v>
      </c>
      <c r="E45" s="110"/>
    </row>
    <row r="46" spans="1:7" x14ac:dyDescent="0.25">
      <c r="C46" s="57"/>
      <c r="D46" s="57"/>
      <c r="E46" s="110"/>
    </row>
    <row r="47" spans="1:7" x14ac:dyDescent="0.25">
      <c r="C47" s="57"/>
      <c r="D47" s="57"/>
      <c r="E47" s="110"/>
    </row>
    <row r="48" spans="1:7" x14ac:dyDescent="0.25">
      <c r="C48" s="57"/>
      <c r="D48" s="57"/>
      <c r="E48" s="110"/>
    </row>
    <row r="49" spans="3:5" x14ac:dyDescent="0.25">
      <c r="C49" s="57"/>
      <c r="D49" s="57"/>
      <c r="E49" s="110"/>
    </row>
    <row r="50" spans="3:5" x14ac:dyDescent="0.25">
      <c r="C50" s="55"/>
      <c r="D50" s="55"/>
      <c r="E50" s="55"/>
    </row>
    <row r="51" spans="3:5" x14ac:dyDescent="0.25">
      <c r="C51" s="56"/>
      <c r="D51" s="56"/>
      <c r="E51" s="56"/>
    </row>
  </sheetData>
  <mergeCells count="2">
    <mergeCell ref="A1:G1"/>
    <mergeCell ref="C23:D23"/>
  </mergeCells>
  <pageMargins left="0.4" right="0" top="0" bottom="0" header="0" footer="0"/>
  <pageSetup scale="85" fitToWidth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4E6D-A683-48A0-B107-9C2B2B8DCFFF}">
  <sheetPr transitionEvaluation="1">
    <tabColor rgb="FFFF0000"/>
    <pageSetUpPr fitToPage="1"/>
  </sheetPr>
  <dimension ref="A1:G52"/>
  <sheetViews>
    <sheetView workbookViewId="0">
      <selection activeCell="A12" sqref="A12"/>
    </sheetView>
  </sheetViews>
  <sheetFormatPr defaultRowHeight="15.75" x14ac:dyDescent="0.25"/>
  <cols>
    <col min="1" max="1" width="27" customWidth="1"/>
    <col min="2" max="2" width="16.44140625" customWidth="1"/>
    <col min="3" max="3" width="15.109375" bestFit="1" customWidth="1"/>
    <col min="4" max="4" width="18.109375" bestFit="1" customWidth="1"/>
    <col min="5" max="5" width="13" bestFit="1" customWidth="1"/>
    <col min="6" max="6" width="11.6640625" bestFit="1" customWidth="1"/>
    <col min="7" max="7" width="11.88671875" customWidth="1"/>
    <col min="249" max="249" width="23.88671875" bestFit="1" customWidth="1"/>
    <col min="250" max="250" width="18.109375" customWidth="1"/>
    <col min="251" max="251" width="15.109375" bestFit="1" customWidth="1"/>
    <col min="252" max="252" width="16.77734375" bestFit="1" customWidth="1"/>
    <col min="253" max="253" width="13" bestFit="1" customWidth="1"/>
    <col min="254" max="254" width="11.6640625" bestFit="1" customWidth="1"/>
    <col min="255" max="255" width="11.88671875" customWidth="1"/>
    <col min="256" max="256" width="8.77734375" bestFit="1" customWidth="1"/>
    <col min="259" max="259" width="13.44140625" customWidth="1"/>
    <col min="260" max="260" width="10.77734375" customWidth="1"/>
    <col min="505" max="505" width="23.88671875" bestFit="1" customWidth="1"/>
    <col min="506" max="506" width="18.109375" customWidth="1"/>
    <col min="507" max="507" width="15.109375" bestFit="1" customWidth="1"/>
    <col min="508" max="508" width="16.77734375" bestFit="1" customWidth="1"/>
    <col min="509" max="509" width="13" bestFit="1" customWidth="1"/>
    <col min="510" max="510" width="11.6640625" bestFit="1" customWidth="1"/>
    <col min="511" max="511" width="11.88671875" customWidth="1"/>
    <col min="512" max="512" width="8.77734375" bestFit="1" customWidth="1"/>
    <col min="515" max="515" width="13.44140625" customWidth="1"/>
    <col min="516" max="516" width="10.77734375" customWidth="1"/>
    <col min="761" max="761" width="23.88671875" bestFit="1" customWidth="1"/>
    <col min="762" max="762" width="18.109375" customWidth="1"/>
    <col min="763" max="763" width="15.109375" bestFit="1" customWidth="1"/>
    <col min="764" max="764" width="16.77734375" bestFit="1" customWidth="1"/>
    <col min="765" max="765" width="13" bestFit="1" customWidth="1"/>
    <col min="766" max="766" width="11.6640625" bestFit="1" customWidth="1"/>
    <col min="767" max="767" width="11.88671875" customWidth="1"/>
    <col min="768" max="768" width="8.77734375" bestFit="1" customWidth="1"/>
    <col min="771" max="771" width="13.44140625" customWidth="1"/>
    <col min="772" max="772" width="10.77734375" customWidth="1"/>
    <col min="1017" max="1017" width="23.88671875" bestFit="1" customWidth="1"/>
    <col min="1018" max="1018" width="18.109375" customWidth="1"/>
    <col min="1019" max="1019" width="15.109375" bestFit="1" customWidth="1"/>
    <col min="1020" max="1020" width="16.77734375" bestFit="1" customWidth="1"/>
    <col min="1021" max="1021" width="13" bestFit="1" customWidth="1"/>
    <col min="1022" max="1022" width="11.6640625" bestFit="1" customWidth="1"/>
    <col min="1023" max="1023" width="11.88671875" customWidth="1"/>
    <col min="1024" max="1024" width="8.77734375" bestFit="1" customWidth="1"/>
    <col min="1027" max="1027" width="13.44140625" customWidth="1"/>
    <col min="1028" max="1028" width="10.77734375" customWidth="1"/>
    <col min="1273" max="1273" width="23.88671875" bestFit="1" customWidth="1"/>
    <col min="1274" max="1274" width="18.109375" customWidth="1"/>
    <col min="1275" max="1275" width="15.109375" bestFit="1" customWidth="1"/>
    <col min="1276" max="1276" width="16.77734375" bestFit="1" customWidth="1"/>
    <col min="1277" max="1277" width="13" bestFit="1" customWidth="1"/>
    <col min="1278" max="1278" width="11.6640625" bestFit="1" customWidth="1"/>
    <col min="1279" max="1279" width="11.88671875" customWidth="1"/>
    <col min="1280" max="1280" width="8.77734375" bestFit="1" customWidth="1"/>
    <col min="1283" max="1283" width="13.44140625" customWidth="1"/>
    <col min="1284" max="1284" width="10.77734375" customWidth="1"/>
    <col min="1529" max="1529" width="23.88671875" bestFit="1" customWidth="1"/>
    <col min="1530" max="1530" width="18.109375" customWidth="1"/>
    <col min="1531" max="1531" width="15.109375" bestFit="1" customWidth="1"/>
    <col min="1532" max="1532" width="16.77734375" bestFit="1" customWidth="1"/>
    <col min="1533" max="1533" width="13" bestFit="1" customWidth="1"/>
    <col min="1534" max="1534" width="11.6640625" bestFit="1" customWidth="1"/>
    <col min="1535" max="1535" width="11.88671875" customWidth="1"/>
    <col min="1536" max="1536" width="8.77734375" bestFit="1" customWidth="1"/>
    <col min="1539" max="1539" width="13.44140625" customWidth="1"/>
    <col min="1540" max="1540" width="10.77734375" customWidth="1"/>
    <col min="1785" max="1785" width="23.88671875" bestFit="1" customWidth="1"/>
    <col min="1786" max="1786" width="18.109375" customWidth="1"/>
    <col min="1787" max="1787" width="15.109375" bestFit="1" customWidth="1"/>
    <col min="1788" max="1788" width="16.77734375" bestFit="1" customWidth="1"/>
    <col min="1789" max="1789" width="13" bestFit="1" customWidth="1"/>
    <col min="1790" max="1790" width="11.6640625" bestFit="1" customWidth="1"/>
    <col min="1791" max="1791" width="11.88671875" customWidth="1"/>
    <col min="1792" max="1792" width="8.77734375" bestFit="1" customWidth="1"/>
    <col min="1795" max="1795" width="13.44140625" customWidth="1"/>
    <col min="1796" max="1796" width="10.77734375" customWidth="1"/>
    <col min="2041" max="2041" width="23.88671875" bestFit="1" customWidth="1"/>
    <col min="2042" max="2042" width="18.109375" customWidth="1"/>
    <col min="2043" max="2043" width="15.109375" bestFit="1" customWidth="1"/>
    <col min="2044" max="2044" width="16.77734375" bestFit="1" customWidth="1"/>
    <col min="2045" max="2045" width="13" bestFit="1" customWidth="1"/>
    <col min="2046" max="2046" width="11.6640625" bestFit="1" customWidth="1"/>
    <col min="2047" max="2047" width="11.88671875" customWidth="1"/>
    <col min="2048" max="2048" width="8.77734375" bestFit="1" customWidth="1"/>
    <col min="2051" max="2051" width="13.44140625" customWidth="1"/>
    <col min="2052" max="2052" width="10.77734375" customWidth="1"/>
    <col min="2297" max="2297" width="23.88671875" bestFit="1" customWidth="1"/>
    <col min="2298" max="2298" width="18.109375" customWidth="1"/>
    <col min="2299" max="2299" width="15.109375" bestFit="1" customWidth="1"/>
    <col min="2300" max="2300" width="16.77734375" bestFit="1" customWidth="1"/>
    <col min="2301" max="2301" width="13" bestFit="1" customWidth="1"/>
    <col min="2302" max="2302" width="11.6640625" bestFit="1" customWidth="1"/>
    <col min="2303" max="2303" width="11.88671875" customWidth="1"/>
    <col min="2304" max="2304" width="8.77734375" bestFit="1" customWidth="1"/>
    <col min="2307" max="2307" width="13.44140625" customWidth="1"/>
    <col min="2308" max="2308" width="10.77734375" customWidth="1"/>
    <col min="2553" max="2553" width="23.88671875" bestFit="1" customWidth="1"/>
    <col min="2554" max="2554" width="18.109375" customWidth="1"/>
    <col min="2555" max="2555" width="15.109375" bestFit="1" customWidth="1"/>
    <col min="2556" max="2556" width="16.77734375" bestFit="1" customWidth="1"/>
    <col min="2557" max="2557" width="13" bestFit="1" customWidth="1"/>
    <col min="2558" max="2558" width="11.6640625" bestFit="1" customWidth="1"/>
    <col min="2559" max="2559" width="11.88671875" customWidth="1"/>
    <col min="2560" max="2560" width="8.77734375" bestFit="1" customWidth="1"/>
    <col min="2563" max="2563" width="13.44140625" customWidth="1"/>
    <col min="2564" max="2564" width="10.77734375" customWidth="1"/>
    <col min="2809" max="2809" width="23.88671875" bestFit="1" customWidth="1"/>
    <col min="2810" max="2810" width="18.109375" customWidth="1"/>
    <col min="2811" max="2811" width="15.109375" bestFit="1" customWidth="1"/>
    <col min="2812" max="2812" width="16.77734375" bestFit="1" customWidth="1"/>
    <col min="2813" max="2813" width="13" bestFit="1" customWidth="1"/>
    <col min="2814" max="2814" width="11.6640625" bestFit="1" customWidth="1"/>
    <col min="2815" max="2815" width="11.88671875" customWidth="1"/>
    <col min="2816" max="2816" width="8.77734375" bestFit="1" customWidth="1"/>
    <col min="2819" max="2819" width="13.44140625" customWidth="1"/>
    <col min="2820" max="2820" width="10.77734375" customWidth="1"/>
    <col min="3065" max="3065" width="23.88671875" bestFit="1" customWidth="1"/>
    <col min="3066" max="3066" width="18.109375" customWidth="1"/>
    <col min="3067" max="3067" width="15.109375" bestFit="1" customWidth="1"/>
    <col min="3068" max="3068" width="16.77734375" bestFit="1" customWidth="1"/>
    <col min="3069" max="3069" width="13" bestFit="1" customWidth="1"/>
    <col min="3070" max="3070" width="11.6640625" bestFit="1" customWidth="1"/>
    <col min="3071" max="3071" width="11.88671875" customWidth="1"/>
    <col min="3072" max="3072" width="8.77734375" bestFit="1" customWidth="1"/>
    <col min="3075" max="3075" width="13.44140625" customWidth="1"/>
    <col min="3076" max="3076" width="10.77734375" customWidth="1"/>
    <col min="3321" max="3321" width="23.88671875" bestFit="1" customWidth="1"/>
    <col min="3322" max="3322" width="18.109375" customWidth="1"/>
    <col min="3323" max="3323" width="15.109375" bestFit="1" customWidth="1"/>
    <col min="3324" max="3324" width="16.77734375" bestFit="1" customWidth="1"/>
    <col min="3325" max="3325" width="13" bestFit="1" customWidth="1"/>
    <col min="3326" max="3326" width="11.6640625" bestFit="1" customWidth="1"/>
    <col min="3327" max="3327" width="11.88671875" customWidth="1"/>
    <col min="3328" max="3328" width="8.77734375" bestFit="1" customWidth="1"/>
    <col min="3331" max="3331" width="13.44140625" customWidth="1"/>
    <col min="3332" max="3332" width="10.77734375" customWidth="1"/>
    <col min="3577" max="3577" width="23.88671875" bestFit="1" customWidth="1"/>
    <col min="3578" max="3578" width="18.109375" customWidth="1"/>
    <col min="3579" max="3579" width="15.109375" bestFit="1" customWidth="1"/>
    <col min="3580" max="3580" width="16.77734375" bestFit="1" customWidth="1"/>
    <col min="3581" max="3581" width="13" bestFit="1" customWidth="1"/>
    <col min="3582" max="3582" width="11.6640625" bestFit="1" customWidth="1"/>
    <col min="3583" max="3583" width="11.88671875" customWidth="1"/>
    <col min="3584" max="3584" width="8.77734375" bestFit="1" customWidth="1"/>
    <col min="3587" max="3587" width="13.44140625" customWidth="1"/>
    <col min="3588" max="3588" width="10.77734375" customWidth="1"/>
    <col min="3833" max="3833" width="23.88671875" bestFit="1" customWidth="1"/>
    <col min="3834" max="3834" width="18.109375" customWidth="1"/>
    <col min="3835" max="3835" width="15.109375" bestFit="1" customWidth="1"/>
    <col min="3836" max="3836" width="16.77734375" bestFit="1" customWidth="1"/>
    <col min="3837" max="3837" width="13" bestFit="1" customWidth="1"/>
    <col min="3838" max="3838" width="11.6640625" bestFit="1" customWidth="1"/>
    <col min="3839" max="3839" width="11.88671875" customWidth="1"/>
    <col min="3840" max="3840" width="8.77734375" bestFit="1" customWidth="1"/>
    <col min="3843" max="3843" width="13.44140625" customWidth="1"/>
    <col min="3844" max="3844" width="10.77734375" customWidth="1"/>
    <col min="4089" max="4089" width="23.88671875" bestFit="1" customWidth="1"/>
    <col min="4090" max="4090" width="18.109375" customWidth="1"/>
    <col min="4091" max="4091" width="15.109375" bestFit="1" customWidth="1"/>
    <col min="4092" max="4092" width="16.77734375" bestFit="1" customWidth="1"/>
    <col min="4093" max="4093" width="13" bestFit="1" customWidth="1"/>
    <col min="4094" max="4094" width="11.6640625" bestFit="1" customWidth="1"/>
    <col min="4095" max="4095" width="11.88671875" customWidth="1"/>
    <col min="4096" max="4096" width="8.77734375" bestFit="1" customWidth="1"/>
    <col min="4099" max="4099" width="13.44140625" customWidth="1"/>
    <col min="4100" max="4100" width="10.77734375" customWidth="1"/>
    <col min="4345" max="4345" width="23.88671875" bestFit="1" customWidth="1"/>
    <col min="4346" max="4346" width="18.109375" customWidth="1"/>
    <col min="4347" max="4347" width="15.109375" bestFit="1" customWidth="1"/>
    <col min="4348" max="4348" width="16.77734375" bestFit="1" customWidth="1"/>
    <col min="4349" max="4349" width="13" bestFit="1" customWidth="1"/>
    <col min="4350" max="4350" width="11.6640625" bestFit="1" customWidth="1"/>
    <col min="4351" max="4351" width="11.88671875" customWidth="1"/>
    <col min="4352" max="4352" width="8.77734375" bestFit="1" customWidth="1"/>
    <col min="4355" max="4355" width="13.44140625" customWidth="1"/>
    <col min="4356" max="4356" width="10.77734375" customWidth="1"/>
    <col min="4601" max="4601" width="23.88671875" bestFit="1" customWidth="1"/>
    <col min="4602" max="4602" width="18.109375" customWidth="1"/>
    <col min="4603" max="4603" width="15.109375" bestFit="1" customWidth="1"/>
    <col min="4604" max="4604" width="16.77734375" bestFit="1" customWidth="1"/>
    <col min="4605" max="4605" width="13" bestFit="1" customWidth="1"/>
    <col min="4606" max="4606" width="11.6640625" bestFit="1" customWidth="1"/>
    <col min="4607" max="4607" width="11.88671875" customWidth="1"/>
    <col min="4608" max="4608" width="8.77734375" bestFit="1" customWidth="1"/>
    <col min="4611" max="4611" width="13.44140625" customWidth="1"/>
    <col min="4612" max="4612" width="10.77734375" customWidth="1"/>
    <col min="4857" max="4857" width="23.88671875" bestFit="1" customWidth="1"/>
    <col min="4858" max="4858" width="18.109375" customWidth="1"/>
    <col min="4859" max="4859" width="15.109375" bestFit="1" customWidth="1"/>
    <col min="4860" max="4860" width="16.77734375" bestFit="1" customWidth="1"/>
    <col min="4861" max="4861" width="13" bestFit="1" customWidth="1"/>
    <col min="4862" max="4862" width="11.6640625" bestFit="1" customWidth="1"/>
    <col min="4863" max="4863" width="11.88671875" customWidth="1"/>
    <col min="4864" max="4864" width="8.77734375" bestFit="1" customWidth="1"/>
    <col min="4867" max="4867" width="13.44140625" customWidth="1"/>
    <col min="4868" max="4868" width="10.77734375" customWidth="1"/>
    <col min="5113" max="5113" width="23.88671875" bestFit="1" customWidth="1"/>
    <col min="5114" max="5114" width="18.109375" customWidth="1"/>
    <col min="5115" max="5115" width="15.109375" bestFit="1" customWidth="1"/>
    <col min="5116" max="5116" width="16.77734375" bestFit="1" customWidth="1"/>
    <col min="5117" max="5117" width="13" bestFit="1" customWidth="1"/>
    <col min="5118" max="5118" width="11.6640625" bestFit="1" customWidth="1"/>
    <col min="5119" max="5119" width="11.88671875" customWidth="1"/>
    <col min="5120" max="5120" width="8.77734375" bestFit="1" customWidth="1"/>
    <col min="5123" max="5123" width="13.44140625" customWidth="1"/>
    <col min="5124" max="5124" width="10.77734375" customWidth="1"/>
    <col min="5369" max="5369" width="23.88671875" bestFit="1" customWidth="1"/>
    <col min="5370" max="5370" width="18.109375" customWidth="1"/>
    <col min="5371" max="5371" width="15.109375" bestFit="1" customWidth="1"/>
    <col min="5372" max="5372" width="16.77734375" bestFit="1" customWidth="1"/>
    <col min="5373" max="5373" width="13" bestFit="1" customWidth="1"/>
    <col min="5374" max="5374" width="11.6640625" bestFit="1" customWidth="1"/>
    <col min="5375" max="5375" width="11.88671875" customWidth="1"/>
    <col min="5376" max="5376" width="8.77734375" bestFit="1" customWidth="1"/>
    <col min="5379" max="5379" width="13.44140625" customWidth="1"/>
    <col min="5380" max="5380" width="10.77734375" customWidth="1"/>
    <col min="5625" max="5625" width="23.88671875" bestFit="1" customWidth="1"/>
    <col min="5626" max="5626" width="18.109375" customWidth="1"/>
    <col min="5627" max="5627" width="15.109375" bestFit="1" customWidth="1"/>
    <col min="5628" max="5628" width="16.77734375" bestFit="1" customWidth="1"/>
    <col min="5629" max="5629" width="13" bestFit="1" customWidth="1"/>
    <col min="5630" max="5630" width="11.6640625" bestFit="1" customWidth="1"/>
    <col min="5631" max="5631" width="11.88671875" customWidth="1"/>
    <col min="5632" max="5632" width="8.77734375" bestFit="1" customWidth="1"/>
    <col min="5635" max="5635" width="13.44140625" customWidth="1"/>
    <col min="5636" max="5636" width="10.77734375" customWidth="1"/>
    <col min="5881" max="5881" width="23.88671875" bestFit="1" customWidth="1"/>
    <col min="5882" max="5882" width="18.109375" customWidth="1"/>
    <col min="5883" max="5883" width="15.109375" bestFit="1" customWidth="1"/>
    <col min="5884" max="5884" width="16.77734375" bestFit="1" customWidth="1"/>
    <col min="5885" max="5885" width="13" bestFit="1" customWidth="1"/>
    <col min="5886" max="5886" width="11.6640625" bestFit="1" customWidth="1"/>
    <col min="5887" max="5887" width="11.88671875" customWidth="1"/>
    <col min="5888" max="5888" width="8.77734375" bestFit="1" customWidth="1"/>
    <col min="5891" max="5891" width="13.44140625" customWidth="1"/>
    <col min="5892" max="5892" width="10.77734375" customWidth="1"/>
    <col min="6137" max="6137" width="23.88671875" bestFit="1" customWidth="1"/>
    <col min="6138" max="6138" width="18.109375" customWidth="1"/>
    <col min="6139" max="6139" width="15.109375" bestFit="1" customWidth="1"/>
    <col min="6140" max="6140" width="16.77734375" bestFit="1" customWidth="1"/>
    <col min="6141" max="6141" width="13" bestFit="1" customWidth="1"/>
    <col min="6142" max="6142" width="11.6640625" bestFit="1" customWidth="1"/>
    <col min="6143" max="6143" width="11.88671875" customWidth="1"/>
    <col min="6144" max="6144" width="8.77734375" bestFit="1" customWidth="1"/>
    <col min="6147" max="6147" width="13.44140625" customWidth="1"/>
    <col min="6148" max="6148" width="10.77734375" customWidth="1"/>
    <col min="6393" max="6393" width="23.88671875" bestFit="1" customWidth="1"/>
    <col min="6394" max="6394" width="18.109375" customWidth="1"/>
    <col min="6395" max="6395" width="15.109375" bestFit="1" customWidth="1"/>
    <col min="6396" max="6396" width="16.77734375" bestFit="1" customWidth="1"/>
    <col min="6397" max="6397" width="13" bestFit="1" customWidth="1"/>
    <col min="6398" max="6398" width="11.6640625" bestFit="1" customWidth="1"/>
    <col min="6399" max="6399" width="11.88671875" customWidth="1"/>
    <col min="6400" max="6400" width="8.77734375" bestFit="1" customWidth="1"/>
    <col min="6403" max="6403" width="13.44140625" customWidth="1"/>
    <col min="6404" max="6404" width="10.77734375" customWidth="1"/>
    <col min="6649" max="6649" width="23.88671875" bestFit="1" customWidth="1"/>
    <col min="6650" max="6650" width="18.109375" customWidth="1"/>
    <col min="6651" max="6651" width="15.109375" bestFit="1" customWidth="1"/>
    <col min="6652" max="6652" width="16.77734375" bestFit="1" customWidth="1"/>
    <col min="6653" max="6653" width="13" bestFit="1" customWidth="1"/>
    <col min="6654" max="6654" width="11.6640625" bestFit="1" customWidth="1"/>
    <col min="6655" max="6655" width="11.88671875" customWidth="1"/>
    <col min="6656" max="6656" width="8.77734375" bestFit="1" customWidth="1"/>
    <col min="6659" max="6659" width="13.44140625" customWidth="1"/>
    <col min="6660" max="6660" width="10.77734375" customWidth="1"/>
    <col min="6905" max="6905" width="23.88671875" bestFit="1" customWidth="1"/>
    <col min="6906" max="6906" width="18.109375" customWidth="1"/>
    <col min="6907" max="6907" width="15.109375" bestFit="1" customWidth="1"/>
    <col min="6908" max="6908" width="16.77734375" bestFit="1" customWidth="1"/>
    <col min="6909" max="6909" width="13" bestFit="1" customWidth="1"/>
    <col min="6910" max="6910" width="11.6640625" bestFit="1" customWidth="1"/>
    <col min="6911" max="6911" width="11.88671875" customWidth="1"/>
    <col min="6912" max="6912" width="8.77734375" bestFit="1" customWidth="1"/>
    <col min="6915" max="6915" width="13.44140625" customWidth="1"/>
    <col min="6916" max="6916" width="10.77734375" customWidth="1"/>
    <col min="7161" max="7161" width="23.88671875" bestFit="1" customWidth="1"/>
    <col min="7162" max="7162" width="18.109375" customWidth="1"/>
    <col min="7163" max="7163" width="15.109375" bestFit="1" customWidth="1"/>
    <col min="7164" max="7164" width="16.77734375" bestFit="1" customWidth="1"/>
    <col min="7165" max="7165" width="13" bestFit="1" customWidth="1"/>
    <col min="7166" max="7166" width="11.6640625" bestFit="1" customWidth="1"/>
    <col min="7167" max="7167" width="11.88671875" customWidth="1"/>
    <col min="7168" max="7168" width="8.77734375" bestFit="1" customWidth="1"/>
    <col min="7171" max="7171" width="13.44140625" customWidth="1"/>
    <col min="7172" max="7172" width="10.77734375" customWidth="1"/>
    <col min="7417" max="7417" width="23.88671875" bestFit="1" customWidth="1"/>
    <col min="7418" max="7418" width="18.109375" customWidth="1"/>
    <col min="7419" max="7419" width="15.109375" bestFit="1" customWidth="1"/>
    <col min="7420" max="7420" width="16.77734375" bestFit="1" customWidth="1"/>
    <col min="7421" max="7421" width="13" bestFit="1" customWidth="1"/>
    <col min="7422" max="7422" width="11.6640625" bestFit="1" customWidth="1"/>
    <col min="7423" max="7423" width="11.88671875" customWidth="1"/>
    <col min="7424" max="7424" width="8.77734375" bestFit="1" customWidth="1"/>
    <col min="7427" max="7427" width="13.44140625" customWidth="1"/>
    <col min="7428" max="7428" width="10.77734375" customWidth="1"/>
    <col min="7673" max="7673" width="23.88671875" bestFit="1" customWidth="1"/>
    <col min="7674" max="7674" width="18.109375" customWidth="1"/>
    <col min="7675" max="7675" width="15.109375" bestFit="1" customWidth="1"/>
    <col min="7676" max="7676" width="16.77734375" bestFit="1" customWidth="1"/>
    <col min="7677" max="7677" width="13" bestFit="1" customWidth="1"/>
    <col min="7678" max="7678" width="11.6640625" bestFit="1" customWidth="1"/>
    <col min="7679" max="7679" width="11.88671875" customWidth="1"/>
    <col min="7680" max="7680" width="8.77734375" bestFit="1" customWidth="1"/>
    <col min="7683" max="7683" width="13.44140625" customWidth="1"/>
    <col min="7684" max="7684" width="10.77734375" customWidth="1"/>
    <col min="7929" max="7929" width="23.88671875" bestFit="1" customWidth="1"/>
    <col min="7930" max="7930" width="18.109375" customWidth="1"/>
    <col min="7931" max="7931" width="15.109375" bestFit="1" customWidth="1"/>
    <col min="7932" max="7932" width="16.77734375" bestFit="1" customWidth="1"/>
    <col min="7933" max="7933" width="13" bestFit="1" customWidth="1"/>
    <col min="7934" max="7934" width="11.6640625" bestFit="1" customWidth="1"/>
    <col min="7935" max="7935" width="11.88671875" customWidth="1"/>
    <col min="7936" max="7936" width="8.77734375" bestFit="1" customWidth="1"/>
    <col min="7939" max="7939" width="13.44140625" customWidth="1"/>
    <col min="7940" max="7940" width="10.77734375" customWidth="1"/>
    <col min="8185" max="8185" width="23.88671875" bestFit="1" customWidth="1"/>
    <col min="8186" max="8186" width="18.109375" customWidth="1"/>
    <col min="8187" max="8187" width="15.109375" bestFit="1" customWidth="1"/>
    <col min="8188" max="8188" width="16.77734375" bestFit="1" customWidth="1"/>
    <col min="8189" max="8189" width="13" bestFit="1" customWidth="1"/>
    <col min="8190" max="8190" width="11.6640625" bestFit="1" customWidth="1"/>
    <col min="8191" max="8191" width="11.88671875" customWidth="1"/>
    <col min="8192" max="8192" width="8.77734375" bestFit="1" customWidth="1"/>
    <col min="8195" max="8195" width="13.44140625" customWidth="1"/>
    <col min="8196" max="8196" width="10.77734375" customWidth="1"/>
    <col min="8441" max="8441" width="23.88671875" bestFit="1" customWidth="1"/>
    <col min="8442" max="8442" width="18.109375" customWidth="1"/>
    <col min="8443" max="8443" width="15.109375" bestFit="1" customWidth="1"/>
    <col min="8444" max="8444" width="16.77734375" bestFit="1" customWidth="1"/>
    <col min="8445" max="8445" width="13" bestFit="1" customWidth="1"/>
    <col min="8446" max="8446" width="11.6640625" bestFit="1" customWidth="1"/>
    <col min="8447" max="8447" width="11.88671875" customWidth="1"/>
    <col min="8448" max="8448" width="8.77734375" bestFit="1" customWidth="1"/>
    <col min="8451" max="8451" width="13.44140625" customWidth="1"/>
    <col min="8452" max="8452" width="10.77734375" customWidth="1"/>
    <col min="8697" max="8697" width="23.88671875" bestFit="1" customWidth="1"/>
    <col min="8698" max="8698" width="18.109375" customWidth="1"/>
    <col min="8699" max="8699" width="15.109375" bestFit="1" customWidth="1"/>
    <col min="8700" max="8700" width="16.77734375" bestFit="1" customWidth="1"/>
    <col min="8701" max="8701" width="13" bestFit="1" customWidth="1"/>
    <col min="8702" max="8702" width="11.6640625" bestFit="1" customWidth="1"/>
    <col min="8703" max="8703" width="11.88671875" customWidth="1"/>
    <col min="8704" max="8704" width="8.77734375" bestFit="1" customWidth="1"/>
    <col min="8707" max="8707" width="13.44140625" customWidth="1"/>
    <col min="8708" max="8708" width="10.77734375" customWidth="1"/>
    <col min="8953" max="8953" width="23.88671875" bestFit="1" customWidth="1"/>
    <col min="8954" max="8954" width="18.109375" customWidth="1"/>
    <col min="8955" max="8955" width="15.109375" bestFit="1" customWidth="1"/>
    <col min="8956" max="8956" width="16.77734375" bestFit="1" customWidth="1"/>
    <col min="8957" max="8957" width="13" bestFit="1" customWidth="1"/>
    <col min="8958" max="8958" width="11.6640625" bestFit="1" customWidth="1"/>
    <col min="8959" max="8959" width="11.88671875" customWidth="1"/>
    <col min="8960" max="8960" width="8.77734375" bestFit="1" customWidth="1"/>
    <col min="8963" max="8963" width="13.44140625" customWidth="1"/>
    <col min="8964" max="8964" width="10.77734375" customWidth="1"/>
    <col min="9209" max="9209" width="23.88671875" bestFit="1" customWidth="1"/>
    <col min="9210" max="9210" width="18.109375" customWidth="1"/>
    <col min="9211" max="9211" width="15.109375" bestFit="1" customWidth="1"/>
    <col min="9212" max="9212" width="16.77734375" bestFit="1" customWidth="1"/>
    <col min="9213" max="9213" width="13" bestFit="1" customWidth="1"/>
    <col min="9214" max="9214" width="11.6640625" bestFit="1" customWidth="1"/>
    <col min="9215" max="9215" width="11.88671875" customWidth="1"/>
    <col min="9216" max="9216" width="8.77734375" bestFit="1" customWidth="1"/>
    <col min="9219" max="9219" width="13.44140625" customWidth="1"/>
    <col min="9220" max="9220" width="10.77734375" customWidth="1"/>
    <col min="9465" max="9465" width="23.88671875" bestFit="1" customWidth="1"/>
    <col min="9466" max="9466" width="18.109375" customWidth="1"/>
    <col min="9467" max="9467" width="15.109375" bestFit="1" customWidth="1"/>
    <col min="9468" max="9468" width="16.77734375" bestFit="1" customWidth="1"/>
    <col min="9469" max="9469" width="13" bestFit="1" customWidth="1"/>
    <col min="9470" max="9470" width="11.6640625" bestFit="1" customWidth="1"/>
    <col min="9471" max="9471" width="11.88671875" customWidth="1"/>
    <col min="9472" max="9472" width="8.77734375" bestFit="1" customWidth="1"/>
    <col min="9475" max="9475" width="13.44140625" customWidth="1"/>
    <col min="9476" max="9476" width="10.77734375" customWidth="1"/>
    <col min="9721" max="9721" width="23.88671875" bestFit="1" customWidth="1"/>
    <col min="9722" max="9722" width="18.109375" customWidth="1"/>
    <col min="9723" max="9723" width="15.109375" bestFit="1" customWidth="1"/>
    <col min="9724" max="9724" width="16.77734375" bestFit="1" customWidth="1"/>
    <col min="9725" max="9725" width="13" bestFit="1" customWidth="1"/>
    <col min="9726" max="9726" width="11.6640625" bestFit="1" customWidth="1"/>
    <col min="9727" max="9727" width="11.88671875" customWidth="1"/>
    <col min="9728" max="9728" width="8.77734375" bestFit="1" customWidth="1"/>
    <col min="9731" max="9731" width="13.44140625" customWidth="1"/>
    <col min="9732" max="9732" width="10.77734375" customWidth="1"/>
    <col min="9977" max="9977" width="23.88671875" bestFit="1" customWidth="1"/>
    <col min="9978" max="9978" width="18.109375" customWidth="1"/>
    <col min="9979" max="9979" width="15.109375" bestFit="1" customWidth="1"/>
    <col min="9980" max="9980" width="16.77734375" bestFit="1" customWidth="1"/>
    <col min="9981" max="9981" width="13" bestFit="1" customWidth="1"/>
    <col min="9982" max="9982" width="11.6640625" bestFit="1" customWidth="1"/>
    <col min="9983" max="9983" width="11.88671875" customWidth="1"/>
    <col min="9984" max="9984" width="8.77734375" bestFit="1" customWidth="1"/>
    <col min="9987" max="9987" width="13.44140625" customWidth="1"/>
    <col min="9988" max="9988" width="10.77734375" customWidth="1"/>
    <col min="10233" max="10233" width="23.88671875" bestFit="1" customWidth="1"/>
    <col min="10234" max="10234" width="18.109375" customWidth="1"/>
    <col min="10235" max="10235" width="15.109375" bestFit="1" customWidth="1"/>
    <col min="10236" max="10236" width="16.77734375" bestFit="1" customWidth="1"/>
    <col min="10237" max="10237" width="13" bestFit="1" customWidth="1"/>
    <col min="10238" max="10238" width="11.6640625" bestFit="1" customWidth="1"/>
    <col min="10239" max="10239" width="11.88671875" customWidth="1"/>
    <col min="10240" max="10240" width="8.77734375" bestFit="1" customWidth="1"/>
    <col min="10243" max="10243" width="13.44140625" customWidth="1"/>
    <col min="10244" max="10244" width="10.77734375" customWidth="1"/>
    <col min="10489" max="10489" width="23.88671875" bestFit="1" customWidth="1"/>
    <col min="10490" max="10490" width="18.109375" customWidth="1"/>
    <col min="10491" max="10491" width="15.109375" bestFit="1" customWidth="1"/>
    <col min="10492" max="10492" width="16.77734375" bestFit="1" customWidth="1"/>
    <col min="10493" max="10493" width="13" bestFit="1" customWidth="1"/>
    <col min="10494" max="10494" width="11.6640625" bestFit="1" customWidth="1"/>
    <col min="10495" max="10495" width="11.88671875" customWidth="1"/>
    <col min="10496" max="10496" width="8.77734375" bestFit="1" customWidth="1"/>
    <col min="10499" max="10499" width="13.44140625" customWidth="1"/>
    <col min="10500" max="10500" width="10.77734375" customWidth="1"/>
    <col min="10745" max="10745" width="23.88671875" bestFit="1" customWidth="1"/>
    <col min="10746" max="10746" width="18.109375" customWidth="1"/>
    <col min="10747" max="10747" width="15.109375" bestFit="1" customWidth="1"/>
    <col min="10748" max="10748" width="16.77734375" bestFit="1" customWidth="1"/>
    <col min="10749" max="10749" width="13" bestFit="1" customWidth="1"/>
    <col min="10750" max="10750" width="11.6640625" bestFit="1" customWidth="1"/>
    <col min="10751" max="10751" width="11.88671875" customWidth="1"/>
    <col min="10752" max="10752" width="8.77734375" bestFit="1" customWidth="1"/>
    <col min="10755" max="10755" width="13.44140625" customWidth="1"/>
    <col min="10756" max="10756" width="10.77734375" customWidth="1"/>
    <col min="11001" max="11001" width="23.88671875" bestFit="1" customWidth="1"/>
    <col min="11002" max="11002" width="18.109375" customWidth="1"/>
    <col min="11003" max="11003" width="15.109375" bestFit="1" customWidth="1"/>
    <col min="11004" max="11004" width="16.77734375" bestFit="1" customWidth="1"/>
    <col min="11005" max="11005" width="13" bestFit="1" customWidth="1"/>
    <col min="11006" max="11006" width="11.6640625" bestFit="1" customWidth="1"/>
    <col min="11007" max="11007" width="11.88671875" customWidth="1"/>
    <col min="11008" max="11008" width="8.77734375" bestFit="1" customWidth="1"/>
    <col min="11011" max="11011" width="13.44140625" customWidth="1"/>
    <col min="11012" max="11012" width="10.77734375" customWidth="1"/>
    <col min="11257" max="11257" width="23.88671875" bestFit="1" customWidth="1"/>
    <col min="11258" max="11258" width="18.109375" customWidth="1"/>
    <col min="11259" max="11259" width="15.109375" bestFit="1" customWidth="1"/>
    <col min="11260" max="11260" width="16.77734375" bestFit="1" customWidth="1"/>
    <col min="11261" max="11261" width="13" bestFit="1" customWidth="1"/>
    <col min="11262" max="11262" width="11.6640625" bestFit="1" customWidth="1"/>
    <col min="11263" max="11263" width="11.88671875" customWidth="1"/>
    <col min="11264" max="11264" width="8.77734375" bestFit="1" customWidth="1"/>
    <col min="11267" max="11267" width="13.44140625" customWidth="1"/>
    <col min="11268" max="11268" width="10.77734375" customWidth="1"/>
    <col min="11513" max="11513" width="23.88671875" bestFit="1" customWidth="1"/>
    <col min="11514" max="11514" width="18.109375" customWidth="1"/>
    <col min="11515" max="11515" width="15.109375" bestFit="1" customWidth="1"/>
    <col min="11516" max="11516" width="16.77734375" bestFit="1" customWidth="1"/>
    <col min="11517" max="11517" width="13" bestFit="1" customWidth="1"/>
    <col min="11518" max="11518" width="11.6640625" bestFit="1" customWidth="1"/>
    <col min="11519" max="11519" width="11.88671875" customWidth="1"/>
    <col min="11520" max="11520" width="8.77734375" bestFit="1" customWidth="1"/>
    <col min="11523" max="11523" width="13.44140625" customWidth="1"/>
    <col min="11524" max="11524" width="10.77734375" customWidth="1"/>
    <col min="11769" max="11769" width="23.88671875" bestFit="1" customWidth="1"/>
    <col min="11770" max="11770" width="18.109375" customWidth="1"/>
    <col min="11771" max="11771" width="15.109375" bestFit="1" customWidth="1"/>
    <col min="11772" max="11772" width="16.77734375" bestFit="1" customWidth="1"/>
    <col min="11773" max="11773" width="13" bestFit="1" customWidth="1"/>
    <col min="11774" max="11774" width="11.6640625" bestFit="1" customWidth="1"/>
    <col min="11775" max="11775" width="11.88671875" customWidth="1"/>
    <col min="11776" max="11776" width="8.77734375" bestFit="1" customWidth="1"/>
    <col min="11779" max="11779" width="13.44140625" customWidth="1"/>
    <col min="11780" max="11780" width="10.77734375" customWidth="1"/>
    <col min="12025" max="12025" width="23.88671875" bestFit="1" customWidth="1"/>
    <col min="12026" max="12026" width="18.109375" customWidth="1"/>
    <col min="12027" max="12027" width="15.109375" bestFit="1" customWidth="1"/>
    <col min="12028" max="12028" width="16.77734375" bestFit="1" customWidth="1"/>
    <col min="12029" max="12029" width="13" bestFit="1" customWidth="1"/>
    <col min="12030" max="12030" width="11.6640625" bestFit="1" customWidth="1"/>
    <col min="12031" max="12031" width="11.88671875" customWidth="1"/>
    <col min="12032" max="12032" width="8.77734375" bestFit="1" customWidth="1"/>
    <col min="12035" max="12035" width="13.44140625" customWidth="1"/>
    <col min="12036" max="12036" width="10.77734375" customWidth="1"/>
    <col min="12281" max="12281" width="23.88671875" bestFit="1" customWidth="1"/>
    <col min="12282" max="12282" width="18.109375" customWidth="1"/>
    <col min="12283" max="12283" width="15.109375" bestFit="1" customWidth="1"/>
    <col min="12284" max="12284" width="16.77734375" bestFit="1" customWidth="1"/>
    <col min="12285" max="12285" width="13" bestFit="1" customWidth="1"/>
    <col min="12286" max="12286" width="11.6640625" bestFit="1" customWidth="1"/>
    <col min="12287" max="12287" width="11.88671875" customWidth="1"/>
    <col min="12288" max="12288" width="8.77734375" bestFit="1" customWidth="1"/>
    <col min="12291" max="12291" width="13.44140625" customWidth="1"/>
    <col min="12292" max="12292" width="10.77734375" customWidth="1"/>
    <col min="12537" max="12537" width="23.88671875" bestFit="1" customWidth="1"/>
    <col min="12538" max="12538" width="18.109375" customWidth="1"/>
    <col min="12539" max="12539" width="15.109375" bestFit="1" customWidth="1"/>
    <col min="12540" max="12540" width="16.77734375" bestFit="1" customWidth="1"/>
    <col min="12541" max="12541" width="13" bestFit="1" customWidth="1"/>
    <col min="12542" max="12542" width="11.6640625" bestFit="1" customWidth="1"/>
    <col min="12543" max="12543" width="11.88671875" customWidth="1"/>
    <col min="12544" max="12544" width="8.77734375" bestFit="1" customWidth="1"/>
    <col min="12547" max="12547" width="13.44140625" customWidth="1"/>
    <col min="12548" max="12548" width="10.77734375" customWidth="1"/>
    <col min="12793" max="12793" width="23.88671875" bestFit="1" customWidth="1"/>
    <col min="12794" max="12794" width="18.109375" customWidth="1"/>
    <col min="12795" max="12795" width="15.109375" bestFit="1" customWidth="1"/>
    <col min="12796" max="12796" width="16.77734375" bestFit="1" customWidth="1"/>
    <col min="12797" max="12797" width="13" bestFit="1" customWidth="1"/>
    <col min="12798" max="12798" width="11.6640625" bestFit="1" customWidth="1"/>
    <col min="12799" max="12799" width="11.88671875" customWidth="1"/>
    <col min="12800" max="12800" width="8.77734375" bestFit="1" customWidth="1"/>
    <col min="12803" max="12803" width="13.44140625" customWidth="1"/>
    <col min="12804" max="12804" width="10.77734375" customWidth="1"/>
    <col min="13049" max="13049" width="23.88671875" bestFit="1" customWidth="1"/>
    <col min="13050" max="13050" width="18.109375" customWidth="1"/>
    <col min="13051" max="13051" width="15.109375" bestFit="1" customWidth="1"/>
    <col min="13052" max="13052" width="16.77734375" bestFit="1" customWidth="1"/>
    <col min="13053" max="13053" width="13" bestFit="1" customWidth="1"/>
    <col min="13054" max="13054" width="11.6640625" bestFit="1" customWidth="1"/>
    <col min="13055" max="13055" width="11.88671875" customWidth="1"/>
    <col min="13056" max="13056" width="8.77734375" bestFit="1" customWidth="1"/>
    <col min="13059" max="13059" width="13.44140625" customWidth="1"/>
    <col min="13060" max="13060" width="10.77734375" customWidth="1"/>
    <col min="13305" max="13305" width="23.88671875" bestFit="1" customWidth="1"/>
    <col min="13306" max="13306" width="18.109375" customWidth="1"/>
    <col min="13307" max="13307" width="15.109375" bestFit="1" customWidth="1"/>
    <col min="13308" max="13308" width="16.77734375" bestFit="1" customWidth="1"/>
    <col min="13309" max="13309" width="13" bestFit="1" customWidth="1"/>
    <col min="13310" max="13310" width="11.6640625" bestFit="1" customWidth="1"/>
    <col min="13311" max="13311" width="11.88671875" customWidth="1"/>
    <col min="13312" max="13312" width="8.77734375" bestFit="1" customWidth="1"/>
    <col min="13315" max="13315" width="13.44140625" customWidth="1"/>
    <col min="13316" max="13316" width="10.77734375" customWidth="1"/>
    <col min="13561" max="13561" width="23.88671875" bestFit="1" customWidth="1"/>
    <col min="13562" max="13562" width="18.109375" customWidth="1"/>
    <col min="13563" max="13563" width="15.109375" bestFit="1" customWidth="1"/>
    <col min="13564" max="13564" width="16.77734375" bestFit="1" customWidth="1"/>
    <col min="13565" max="13565" width="13" bestFit="1" customWidth="1"/>
    <col min="13566" max="13566" width="11.6640625" bestFit="1" customWidth="1"/>
    <col min="13567" max="13567" width="11.88671875" customWidth="1"/>
    <col min="13568" max="13568" width="8.77734375" bestFit="1" customWidth="1"/>
    <col min="13571" max="13571" width="13.44140625" customWidth="1"/>
    <col min="13572" max="13572" width="10.77734375" customWidth="1"/>
    <col min="13817" max="13817" width="23.88671875" bestFit="1" customWidth="1"/>
    <col min="13818" max="13818" width="18.109375" customWidth="1"/>
    <col min="13819" max="13819" width="15.109375" bestFit="1" customWidth="1"/>
    <col min="13820" max="13820" width="16.77734375" bestFit="1" customWidth="1"/>
    <col min="13821" max="13821" width="13" bestFit="1" customWidth="1"/>
    <col min="13822" max="13822" width="11.6640625" bestFit="1" customWidth="1"/>
    <col min="13823" max="13823" width="11.88671875" customWidth="1"/>
    <col min="13824" max="13824" width="8.77734375" bestFit="1" customWidth="1"/>
    <col min="13827" max="13827" width="13.44140625" customWidth="1"/>
    <col min="13828" max="13828" width="10.77734375" customWidth="1"/>
    <col min="14073" max="14073" width="23.88671875" bestFit="1" customWidth="1"/>
    <col min="14074" max="14074" width="18.109375" customWidth="1"/>
    <col min="14075" max="14075" width="15.109375" bestFit="1" customWidth="1"/>
    <col min="14076" max="14076" width="16.77734375" bestFit="1" customWidth="1"/>
    <col min="14077" max="14077" width="13" bestFit="1" customWidth="1"/>
    <col min="14078" max="14078" width="11.6640625" bestFit="1" customWidth="1"/>
    <col min="14079" max="14079" width="11.88671875" customWidth="1"/>
    <col min="14080" max="14080" width="8.77734375" bestFit="1" customWidth="1"/>
    <col min="14083" max="14083" width="13.44140625" customWidth="1"/>
    <col min="14084" max="14084" width="10.77734375" customWidth="1"/>
    <col min="14329" max="14329" width="23.88671875" bestFit="1" customWidth="1"/>
    <col min="14330" max="14330" width="18.109375" customWidth="1"/>
    <col min="14331" max="14331" width="15.109375" bestFit="1" customWidth="1"/>
    <col min="14332" max="14332" width="16.77734375" bestFit="1" customWidth="1"/>
    <col min="14333" max="14333" width="13" bestFit="1" customWidth="1"/>
    <col min="14334" max="14334" width="11.6640625" bestFit="1" customWidth="1"/>
    <col min="14335" max="14335" width="11.88671875" customWidth="1"/>
    <col min="14336" max="14336" width="8.77734375" bestFit="1" customWidth="1"/>
    <col min="14339" max="14339" width="13.44140625" customWidth="1"/>
    <col min="14340" max="14340" width="10.77734375" customWidth="1"/>
    <col min="14585" max="14585" width="23.88671875" bestFit="1" customWidth="1"/>
    <col min="14586" max="14586" width="18.109375" customWidth="1"/>
    <col min="14587" max="14587" width="15.109375" bestFit="1" customWidth="1"/>
    <col min="14588" max="14588" width="16.77734375" bestFit="1" customWidth="1"/>
    <col min="14589" max="14589" width="13" bestFit="1" customWidth="1"/>
    <col min="14590" max="14590" width="11.6640625" bestFit="1" customWidth="1"/>
    <col min="14591" max="14591" width="11.88671875" customWidth="1"/>
    <col min="14592" max="14592" width="8.77734375" bestFit="1" customWidth="1"/>
    <col min="14595" max="14595" width="13.44140625" customWidth="1"/>
    <col min="14596" max="14596" width="10.77734375" customWidth="1"/>
    <col min="14841" max="14841" width="23.88671875" bestFit="1" customWidth="1"/>
    <col min="14842" max="14842" width="18.109375" customWidth="1"/>
    <col min="14843" max="14843" width="15.109375" bestFit="1" customWidth="1"/>
    <col min="14844" max="14844" width="16.77734375" bestFit="1" customWidth="1"/>
    <col min="14845" max="14845" width="13" bestFit="1" customWidth="1"/>
    <col min="14846" max="14846" width="11.6640625" bestFit="1" customWidth="1"/>
    <col min="14847" max="14847" width="11.88671875" customWidth="1"/>
    <col min="14848" max="14848" width="8.77734375" bestFit="1" customWidth="1"/>
    <col min="14851" max="14851" width="13.44140625" customWidth="1"/>
    <col min="14852" max="14852" width="10.77734375" customWidth="1"/>
    <col min="15097" max="15097" width="23.88671875" bestFit="1" customWidth="1"/>
    <col min="15098" max="15098" width="18.109375" customWidth="1"/>
    <col min="15099" max="15099" width="15.109375" bestFit="1" customWidth="1"/>
    <col min="15100" max="15100" width="16.77734375" bestFit="1" customWidth="1"/>
    <col min="15101" max="15101" width="13" bestFit="1" customWidth="1"/>
    <col min="15102" max="15102" width="11.6640625" bestFit="1" customWidth="1"/>
    <col min="15103" max="15103" width="11.88671875" customWidth="1"/>
    <col min="15104" max="15104" width="8.77734375" bestFit="1" customWidth="1"/>
    <col min="15107" max="15107" width="13.44140625" customWidth="1"/>
    <col min="15108" max="15108" width="10.77734375" customWidth="1"/>
    <col min="15353" max="15353" width="23.88671875" bestFit="1" customWidth="1"/>
    <col min="15354" max="15354" width="18.109375" customWidth="1"/>
    <col min="15355" max="15355" width="15.109375" bestFit="1" customWidth="1"/>
    <col min="15356" max="15356" width="16.77734375" bestFit="1" customWidth="1"/>
    <col min="15357" max="15357" width="13" bestFit="1" customWidth="1"/>
    <col min="15358" max="15358" width="11.6640625" bestFit="1" customWidth="1"/>
    <col min="15359" max="15359" width="11.88671875" customWidth="1"/>
    <col min="15360" max="15360" width="8.77734375" bestFit="1" customWidth="1"/>
    <col min="15363" max="15363" width="13.44140625" customWidth="1"/>
    <col min="15364" max="15364" width="10.77734375" customWidth="1"/>
    <col min="15609" max="15609" width="23.88671875" bestFit="1" customWidth="1"/>
    <col min="15610" max="15610" width="18.109375" customWidth="1"/>
    <col min="15611" max="15611" width="15.109375" bestFit="1" customWidth="1"/>
    <col min="15612" max="15612" width="16.77734375" bestFit="1" customWidth="1"/>
    <col min="15613" max="15613" width="13" bestFit="1" customWidth="1"/>
    <col min="15614" max="15614" width="11.6640625" bestFit="1" customWidth="1"/>
    <col min="15615" max="15615" width="11.88671875" customWidth="1"/>
    <col min="15616" max="15616" width="8.77734375" bestFit="1" customWidth="1"/>
    <col min="15619" max="15619" width="13.44140625" customWidth="1"/>
    <col min="15620" max="15620" width="10.77734375" customWidth="1"/>
    <col min="15865" max="15865" width="23.88671875" bestFit="1" customWidth="1"/>
    <col min="15866" max="15866" width="18.109375" customWidth="1"/>
    <col min="15867" max="15867" width="15.109375" bestFit="1" customWidth="1"/>
    <col min="15868" max="15868" width="16.77734375" bestFit="1" customWidth="1"/>
    <col min="15869" max="15869" width="13" bestFit="1" customWidth="1"/>
    <col min="15870" max="15870" width="11.6640625" bestFit="1" customWidth="1"/>
    <col min="15871" max="15871" width="11.88671875" customWidth="1"/>
    <col min="15872" max="15872" width="8.77734375" bestFit="1" customWidth="1"/>
    <col min="15875" max="15875" width="13.44140625" customWidth="1"/>
    <col min="15876" max="15876" width="10.77734375" customWidth="1"/>
    <col min="16121" max="16121" width="23.88671875" bestFit="1" customWidth="1"/>
    <col min="16122" max="16122" width="18.109375" customWidth="1"/>
    <col min="16123" max="16123" width="15.109375" bestFit="1" customWidth="1"/>
    <col min="16124" max="16124" width="16.77734375" bestFit="1" customWidth="1"/>
    <col min="16125" max="16125" width="13" bestFit="1" customWidth="1"/>
    <col min="16126" max="16126" width="11.6640625" bestFit="1" customWidth="1"/>
    <col min="16127" max="16127" width="11.88671875" customWidth="1"/>
    <col min="16128" max="16128" width="8.77734375" bestFit="1" customWidth="1"/>
    <col min="16131" max="16131" width="13.44140625" customWidth="1"/>
    <col min="16132" max="16132" width="10.77734375" customWidth="1"/>
  </cols>
  <sheetData>
    <row r="1" spans="1:7" x14ac:dyDescent="0.25">
      <c r="A1" s="184" t="s">
        <v>70</v>
      </c>
      <c r="B1" s="185"/>
      <c r="C1" s="185"/>
      <c r="D1" s="185"/>
      <c r="E1" s="185"/>
      <c r="F1" s="185"/>
      <c r="G1" s="186"/>
    </row>
    <row r="2" spans="1:7" x14ac:dyDescent="0.25">
      <c r="A2" s="1"/>
      <c r="C2" s="2"/>
      <c r="D2" s="2"/>
      <c r="E2" s="3"/>
      <c r="F2" s="3"/>
      <c r="G2" s="4"/>
    </row>
    <row r="3" spans="1:7" x14ac:dyDescent="0.25">
      <c r="A3" s="1"/>
      <c r="B3" s="5" t="s">
        <v>0</v>
      </c>
      <c r="C3" s="6">
        <f>'Paris Feb Paid 2023'!C3</f>
        <v>1187536.9099999999</v>
      </c>
      <c r="D3" s="7" t="s">
        <v>1</v>
      </c>
      <c r="E3" s="3"/>
      <c r="F3" s="3"/>
      <c r="G3" s="8"/>
    </row>
    <row r="4" spans="1:7" x14ac:dyDescent="0.25">
      <c r="A4" s="1"/>
      <c r="B4" s="9" t="s">
        <v>2</v>
      </c>
      <c r="C4" s="10">
        <f>'Paris Feb Paid 2023'!C4</f>
        <v>-30.16</v>
      </c>
      <c r="D4" s="11">
        <f>C6</f>
        <v>-890630.0625</v>
      </c>
      <c r="E4" s="12" t="s">
        <v>3</v>
      </c>
      <c r="F4" s="3"/>
      <c r="G4" s="13"/>
    </row>
    <row r="5" spans="1:7" x14ac:dyDescent="0.25">
      <c r="A5" s="14"/>
      <c r="B5" s="5" t="s">
        <v>4</v>
      </c>
      <c r="C5" s="6">
        <f>C3+C4</f>
        <v>1187506.75</v>
      </c>
      <c r="D5" s="15">
        <f>'Paris Feb Paid 2023'!D5</f>
        <v>-0.05</v>
      </c>
      <c r="E5" s="12" t="s">
        <v>5</v>
      </c>
      <c r="F5" s="3"/>
      <c r="G5" s="8"/>
    </row>
    <row r="6" spans="1:7" x14ac:dyDescent="0.25">
      <c r="A6" s="14"/>
      <c r="B6" s="16" t="s">
        <v>6</v>
      </c>
      <c r="C6" s="17">
        <f>-1*(0.75*C5)</f>
        <v>-890630.0625</v>
      </c>
      <c r="D6" s="18">
        <f>D4+D5</f>
        <v>-890630.11250000005</v>
      </c>
      <c r="E6" s="19" t="s">
        <v>7</v>
      </c>
      <c r="F6" s="3"/>
      <c r="G6" s="8"/>
    </row>
    <row r="7" spans="1:7" x14ac:dyDescent="0.25">
      <c r="A7" s="1"/>
      <c r="B7" s="20" t="s">
        <v>8</v>
      </c>
      <c r="C7" s="21">
        <f>'Paris Feb Paid 2023'!C7</f>
        <v>-0.05</v>
      </c>
      <c r="D7" s="15">
        <f>'Paris Feb Paid 2023'!D7</f>
        <v>-0.01</v>
      </c>
      <c r="E7" s="12" t="s">
        <v>64</v>
      </c>
      <c r="F7" s="3"/>
      <c r="G7" s="13"/>
    </row>
    <row r="8" spans="1:7" x14ac:dyDescent="0.25">
      <c r="A8" s="1"/>
      <c r="B8" s="20" t="s">
        <v>9</v>
      </c>
      <c r="C8" s="123">
        <v>0</v>
      </c>
      <c r="D8" s="22">
        <f>D6+D7</f>
        <v>-890630.12250000006</v>
      </c>
      <c r="E8" s="19" t="s">
        <v>10</v>
      </c>
      <c r="F8" s="3"/>
      <c r="G8" s="13"/>
    </row>
    <row r="9" spans="1:7" x14ac:dyDescent="0.25">
      <c r="A9" s="1"/>
      <c r="B9" s="124" t="s">
        <v>11</v>
      </c>
      <c r="C9" s="24">
        <f>SUM(C5:C8)</f>
        <v>296876.63750000001</v>
      </c>
      <c r="D9" s="11">
        <f>D8*-1</f>
        <v>890630.12250000006</v>
      </c>
      <c r="E9" s="12" t="s">
        <v>10</v>
      </c>
      <c r="F9" s="3"/>
      <c r="G9" s="4"/>
    </row>
    <row r="10" spans="1:7" ht="26.25" x14ac:dyDescent="0.25">
      <c r="A10" s="1">
        <f>'Paris Feb Paid 2023'!A10</f>
        <v>0.41659369565943721</v>
      </c>
      <c r="B10" s="25" t="s">
        <v>12</v>
      </c>
      <c r="C10" s="26">
        <f>A10*1</f>
        <v>0.41659369565943721</v>
      </c>
      <c r="D10" s="27">
        <f>C14</f>
        <v>70901.659999999989</v>
      </c>
      <c r="E10" s="28" t="s">
        <v>13</v>
      </c>
      <c r="F10" s="28"/>
      <c r="G10" s="4"/>
    </row>
    <row r="11" spans="1:7" ht="27" x14ac:dyDescent="0.3">
      <c r="A11" s="113">
        <f>'Paris Feb Paid 2023'!A11</f>
        <v>0.65541899856936592</v>
      </c>
      <c r="B11" s="114" t="s">
        <v>14</v>
      </c>
      <c r="C11" s="115">
        <f>A11*1</f>
        <v>0.65541899856936592</v>
      </c>
      <c r="D11" s="180">
        <f>D9+D10</f>
        <v>961531.78250000009</v>
      </c>
      <c r="E11" s="181" t="s">
        <v>15</v>
      </c>
      <c r="F11" s="31"/>
      <c r="G11" s="32"/>
    </row>
    <row r="12" spans="1:7" x14ac:dyDescent="0.25">
      <c r="A12" s="1"/>
      <c r="B12" s="33"/>
      <c r="C12" s="3"/>
      <c r="D12" s="34" t="s">
        <v>16</v>
      </c>
      <c r="E12" s="35"/>
      <c r="F12" s="36"/>
      <c r="G12" s="4"/>
    </row>
    <row r="13" spans="1:7" x14ac:dyDescent="0.25">
      <c r="A13" s="118"/>
      <c r="B13" s="119" t="s">
        <v>17</v>
      </c>
      <c r="C13" s="120">
        <f>(C5+C6+C7)*C10</f>
        <v>123676.93557107207</v>
      </c>
      <c r="D13" s="11">
        <f>C5</f>
        <v>1187506.75</v>
      </c>
      <c r="E13" s="12" t="s">
        <v>4</v>
      </c>
      <c r="F13" s="4"/>
      <c r="G13" s="4"/>
    </row>
    <row r="14" spans="1:7" x14ac:dyDescent="0.25">
      <c r="A14" s="1"/>
      <c r="B14" s="23" t="s">
        <v>18</v>
      </c>
      <c r="C14" s="121">
        <f>ROUNDUP((C9*C11)-C13,2)</f>
        <v>70901.659999999989</v>
      </c>
      <c r="D14" s="15">
        <f>-C13</f>
        <v>-123676.93557107207</v>
      </c>
      <c r="E14" s="37" t="s">
        <v>19</v>
      </c>
      <c r="F14" s="4"/>
      <c r="G14" s="4"/>
    </row>
    <row r="15" spans="1:7" x14ac:dyDescent="0.25">
      <c r="A15" s="1"/>
      <c r="B15" s="33" t="s">
        <v>20</v>
      </c>
      <c r="C15" s="21"/>
      <c r="D15" s="18">
        <f>SUM(D12:D14)</f>
        <v>1063829.8144289278</v>
      </c>
      <c r="E15" s="38" t="s">
        <v>21</v>
      </c>
      <c r="F15" s="39"/>
      <c r="G15" s="4"/>
    </row>
    <row r="16" spans="1:7" x14ac:dyDescent="0.25">
      <c r="A16" s="1"/>
      <c r="B16" s="33"/>
      <c r="C16" s="21"/>
      <c r="D16" s="11">
        <f>D8</f>
        <v>-890630.12250000006</v>
      </c>
      <c r="E16" s="12" t="s">
        <v>10</v>
      </c>
      <c r="F16" s="4"/>
      <c r="G16" s="4"/>
    </row>
    <row r="17" spans="1:7" x14ac:dyDescent="0.25">
      <c r="A17" s="1"/>
      <c r="B17" s="23" t="s">
        <v>67</v>
      </c>
      <c r="C17" s="40">
        <f>C9-SUM(C13:C16)</f>
        <v>102298.04192892794</v>
      </c>
      <c r="D17" s="11">
        <f>-D10</f>
        <v>-70901.659999999989</v>
      </c>
      <c r="E17" s="12" t="s">
        <v>23</v>
      </c>
      <c r="F17" s="4"/>
      <c r="G17" s="4"/>
    </row>
    <row r="18" spans="1:7" x14ac:dyDescent="0.25">
      <c r="A18" s="41"/>
      <c r="B18" s="38"/>
      <c r="C18" s="3"/>
      <c r="D18" s="15">
        <f>-D7</f>
        <v>0.01</v>
      </c>
      <c r="E18" s="12" t="s">
        <v>56</v>
      </c>
      <c r="F18" s="4"/>
      <c r="G18" s="4"/>
    </row>
    <row r="19" spans="1:7" x14ac:dyDescent="0.25">
      <c r="A19" s="41"/>
      <c r="B19" s="38"/>
      <c r="C19" s="3"/>
      <c r="D19" s="15">
        <v>-29161.14</v>
      </c>
      <c r="E19" s="12" t="s">
        <v>63</v>
      </c>
      <c r="F19" s="4"/>
      <c r="G19" s="4"/>
    </row>
    <row r="20" spans="1:7" x14ac:dyDescent="0.25">
      <c r="A20" s="182" t="s">
        <v>65</v>
      </c>
      <c r="B20" s="43"/>
      <c r="C20" s="44"/>
      <c r="D20" s="42">
        <f>SUM(D15:D19)</f>
        <v>73136.901928927793</v>
      </c>
      <c r="E20" s="28" t="s">
        <v>61</v>
      </c>
      <c r="F20" s="177"/>
      <c r="G20" s="4"/>
    </row>
    <row r="21" spans="1:7" x14ac:dyDescent="0.25">
      <c r="A21" s="1"/>
      <c r="B21" s="12"/>
      <c r="C21" s="45"/>
      <c r="D21" s="15"/>
      <c r="E21" s="46"/>
      <c r="F21" s="47"/>
      <c r="G21" s="4"/>
    </row>
    <row r="22" spans="1:7" x14ac:dyDescent="0.25">
      <c r="A22" s="48"/>
      <c r="B22" s="49"/>
      <c r="C22" s="50"/>
      <c r="D22" s="51"/>
      <c r="E22" s="52"/>
      <c r="F22" s="53"/>
      <c r="G22" s="54"/>
    </row>
    <row r="23" spans="1:7" x14ac:dyDescent="0.25">
      <c r="D23" s="55"/>
      <c r="E23" s="56"/>
      <c r="F23" s="57"/>
    </row>
    <row r="24" spans="1:7" x14ac:dyDescent="0.25">
      <c r="A24" s="58" t="s">
        <v>60</v>
      </c>
      <c r="B24" s="59"/>
      <c r="C24" s="60"/>
      <c r="D24" s="61" t="s">
        <v>25</v>
      </c>
      <c r="E24" s="62" t="s">
        <v>26</v>
      </c>
      <c r="F24" s="63" t="s">
        <v>27</v>
      </c>
      <c r="G24" s="64"/>
    </row>
    <row r="25" spans="1:7" x14ac:dyDescent="0.25">
      <c r="A25" s="14"/>
      <c r="B25" s="65" t="s">
        <v>28</v>
      </c>
      <c r="C25" s="66" t="s">
        <v>29</v>
      </c>
      <c r="D25" s="67" t="s">
        <v>30</v>
      </c>
      <c r="E25" s="68" t="s">
        <v>31</v>
      </c>
      <c r="F25" s="69" t="s">
        <v>31</v>
      </c>
      <c r="G25" s="70" t="s">
        <v>32</v>
      </c>
    </row>
    <row r="26" spans="1:7" x14ac:dyDescent="0.25">
      <c r="A26" s="71" t="s">
        <v>33</v>
      </c>
      <c r="B26" s="72">
        <v>0</v>
      </c>
      <c r="C26" s="73">
        <v>0</v>
      </c>
      <c r="D26" s="74">
        <v>0</v>
      </c>
      <c r="E26" s="75">
        <v>0</v>
      </c>
      <c r="F26" s="75">
        <v>0</v>
      </c>
      <c r="G26" s="76">
        <f>B26-SUM(C26:F26)</f>
        <v>0</v>
      </c>
    </row>
    <row r="27" spans="1:7" x14ac:dyDescent="0.25">
      <c r="A27" s="77" t="s">
        <v>34</v>
      </c>
      <c r="B27" s="78">
        <f>'Paris Feb Paid 2023'!B26</f>
        <v>-30.16</v>
      </c>
      <c r="C27" s="79"/>
      <c r="D27" s="80"/>
      <c r="E27" s="81"/>
      <c r="F27" s="81"/>
      <c r="G27" s="82"/>
    </row>
    <row r="28" spans="1:7" x14ac:dyDescent="0.25">
      <c r="A28" s="83" t="s">
        <v>35</v>
      </c>
      <c r="B28" s="78">
        <f>'Paris Feb Paid 2023'!B27</f>
        <v>1187536.9099999999</v>
      </c>
      <c r="C28" s="84"/>
      <c r="D28" s="85"/>
      <c r="E28" s="75"/>
      <c r="F28" s="75"/>
      <c r="G28" s="86"/>
    </row>
    <row r="29" spans="1:7" x14ac:dyDescent="0.25">
      <c r="A29" s="71" t="s">
        <v>36</v>
      </c>
      <c r="B29" s="87">
        <f>B27+B28</f>
        <v>1187506.75</v>
      </c>
      <c r="C29" s="73">
        <f>(B29+B30+B31)*C46</f>
        <v>123676.93571122152</v>
      </c>
      <c r="D29" s="88">
        <f>ROUND(((B29+B30+B31+B32)*D46)-C29-B30-B31-B32,2)</f>
        <v>961531.77</v>
      </c>
      <c r="E29" s="75">
        <v>0</v>
      </c>
      <c r="F29" s="75">
        <v>0</v>
      </c>
      <c r="G29" s="75">
        <f>B29-SUM(C29:F29)-B32</f>
        <v>102298.05428877844</v>
      </c>
    </row>
    <row r="30" spans="1:7" x14ac:dyDescent="0.25">
      <c r="A30" s="116" t="s">
        <v>45</v>
      </c>
      <c r="B30" s="89">
        <f>C6</f>
        <v>-890630.0625</v>
      </c>
      <c r="C30" s="90"/>
      <c r="D30" s="91"/>
      <c r="E30" s="4"/>
      <c r="F30" s="4"/>
      <c r="G30" s="92">
        <v>0</v>
      </c>
    </row>
    <row r="31" spans="1:7" x14ac:dyDescent="0.25">
      <c r="A31" s="116" t="s">
        <v>46</v>
      </c>
      <c r="B31" s="89">
        <f>C7</f>
        <v>-0.05</v>
      </c>
      <c r="C31" s="90"/>
      <c r="D31" s="91"/>
      <c r="E31" s="4"/>
      <c r="F31" s="4"/>
      <c r="G31" s="92"/>
    </row>
    <row r="32" spans="1:7" x14ac:dyDescent="0.25">
      <c r="A32" s="93" t="s">
        <v>47</v>
      </c>
      <c r="B32" s="94">
        <f>D7</f>
        <v>-0.01</v>
      </c>
      <c r="C32" s="84"/>
      <c r="D32" s="85"/>
      <c r="E32" s="75"/>
      <c r="F32" s="75"/>
      <c r="G32" s="86"/>
    </row>
    <row r="33" spans="1:7" x14ac:dyDescent="0.25">
      <c r="A33" s="95" t="s">
        <v>62</v>
      </c>
      <c r="B33" s="96">
        <f>B30+B31+B32</f>
        <v>-890630.12250000006</v>
      </c>
      <c r="C33" s="97"/>
      <c r="D33" s="98">
        <f>'Paris Feb Paid 2023'!D32</f>
        <v>890630.12000000011</v>
      </c>
      <c r="E33" s="99">
        <v>0</v>
      </c>
      <c r="F33" s="99">
        <v>0</v>
      </c>
      <c r="G33" s="100">
        <f>B33+C33+D33+E33+F33</f>
        <v>-2.4999999441206455E-3</v>
      </c>
    </row>
    <row r="34" spans="1:7" x14ac:dyDescent="0.25">
      <c r="A34" s="77" t="s">
        <v>38</v>
      </c>
      <c r="B34" s="78">
        <f>'Paris Feb Paid 2023'!B33</f>
        <v>751048.82</v>
      </c>
      <c r="C34" s="78">
        <f>$B34*C$46</f>
        <v>312882.20389901439</v>
      </c>
      <c r="D34" s="78">
        <f>ROUNDDOWN(($B34*D$46)-C34,2)</f>
        <v>179369.46</v>
      </c>
      <c r="E34" s="8">
        <v>0</v>
      </c>
      <c r="F34" s="101">
        <v>0</v>
      </c>
      <c r="G34" s="102">
        <f t="shared" ref="G34:G40" si="0">B34-SUM(C34:F34)</f>
        <v>258797.15610098559</v>
      </c>
    </row>
    <row r="35" spans="1:7" x14ac:dyDescent="0.25">
      <c r="A35" s="77" t="s">
        <v>39</v>
      </c>
      <c r="B35" s="78">
        <f>'Paris Feb Paid 2023'!B34</f>
        <v>855854.1</v>
      </c>
      <c r="C35" s="78">
        <f>B35*$C$46</f>
        <v>356543.42286831292</v>
      </c>
      <c r="D35" s="78">
        <f>ROUNDDOWN(($B35*D$46)-C35,2)</f>
        <v>204399.61</v>
      </c>
      <c r="E35" s="8">
        <v>0</v>
      </c>
      <c r="F35" s="101">
        <v>0</v>
      </c>
      <c r="G35" s="103">
        <f>ROUND(B35-SUM(C35:F35),2)</f>
        <v>294911.07</v>
      </c>
    </row>
    <row r="36" spans="1:7" x14ac:dyDescent="0.25">
      <c r="A36" s="77" t="s">
        <v>40</v>
      </c>
      <c r="B36" s="78">
        <f>'Paris Feb Paid 2023'!B35</f>
        <v>35726.589999999997</v>
      </c>
      <c r="C36" s="78">
        <f>B36*$C$46</f>
        <v>14883.472178275291</v>
      </c>
      <c r="D36" s="78">
        <f>ROUNDUP(($B36*D$46)-C36,2)</f>
        <v>8532.42</v>
      </c>
      <c r="E36" s="8">
        <v>0</v>
      </c>
      <c r="F36" s="101">
        <v>0</v>
      </c>
      <c r="G36" s="103">
        <f t="shared" si="0"/>
        <v>12310.697821724705</v>
      </c>
    </row>
    <row r="37" spans="1:7" x14ac:dyDescent="0.25">
      <c r="A37" s="77" t="s">
        <v>41</v>
      </c>
      <c r="B37" s="78">
        <f>'Paris Feb Paid 2023'!B36</f>
        <v>69746</v>
      </c>
      <c r="C37" s="78">
        <f>B37*$C$46</f>
        <v>29055.743930388784</v>
      </c>
      <c r="D37" s="78">
        <f>ROUNDDOWN(($B37*D$46)-C37,2)</f>
        <v>16657.099999999999</v>
      </c>
      <c r="E37" s="10">
        <v>0</v>
      </c>
      <c r="F37" s="75">
        <v>0</v>
      </c>
      <c r="G37" s="104">
        <f t="shared" si="0"/>
        <v>24033.156069611214</v>
      </c>
    </row>
    <row r="38" spans="1:7" x14ac:dyDescent="0.25">
      <c r="A38" s="95" t="s">
        <v>42</v>
      </c>
      <c r="B38" s="105">
        <f>SUM(B34:B37)</f>
        <v>1712375.51</v>
      </c>
      <c r="C38" s="106">
        <f>ROUND(SUM(C34:C37),2)</f>
        <v>713364.84</v>
      </c>
      <c r="D38" s="106">
        <f>SUM(D34:D37)</f>
        <v>408958.58999999991</v>
      </c>
      <c r="E38" s="106">
        <f>SUM(E34:E37)</f>
        <v>0</v>
      </c>
      <c r="F38" s="106">
        <f>SUM(F34:F37)</f>
        <v>0</v>
      </c>
      <c r="G38" s="105">
        <f>ROUNDDOWN(B38-SUM(C38:F38),2)</f>
        <v>590052.07999999996</v>
      </c>
    </row>
    <row r="39" spans="1:7" x14ac:dyDescent="0.25">
      <c r="A39" s="71" t="s">
        <v>43</v>
      </c>
      <c r="B39" s="72">
        <f>'Paris Feb Paid 2023'!B38</f>
        <v>196909.44</v>
      </c>
      <c r="C39" s="72">
        <f>B39*$C$46</f>
        <v>82031.23141278718</v>
      </c>
      <c r="D39" s="78">
        <f t="shared" ref="D39" si="1">($B39*D$46)-C39</f>
        <v>47026.956842572821</v>
      </c>
      <c r="E39" s="75">
        <v>0</v>
      </c>
      <c r="F39" s="75">
        <v>0</v>
      </c>
      <c r="G39" s="76">
        <f t="shared" si="0"/>
        <v>67851.251744640002</v>
      </c>
    </row>
    <row r="40" spans="1:7" x14ac:dyDescent="0.25">
      <c r="A40" s="71" t="s">
        <v>44</v>
      </c>
      <c r="B40" s="107">
        <f>B26+B29+B30+B31+B38+B39</f>
        <v>2206161.5874999999</v>
      </c>
      <c r="C40" s="107">
        <f>C26+C29+C33+C38+C39</f>
        <v>919073.00712400873</v>
      </c>
      <c r="D40" s="98">
        <f>D26+D29-D33+D38+D39</f>
        <v>526887.19684257265</v>
      </c>
      <c r="E40" s="108">
        <f>E26+E29+E33+E38+E39</f>
        <v>0</v>
      </c>
      <c r="F40" s="108">
        <f>F26+F29+F33+F38+F39</f>
        <v>0</v>
      </c>
      <c r="G40" s="105">
        <f t="shared" si="0"/>
        <v>760201.38353341864</v>
      </c>
    </row>
    <row r="41" spans="1:7" x14ac:dyDescent="0.25">
      <c r="E41" s="109"/>
      <c r="G41" s="110"/>
    </row>
    <row r="42" spans="1:7" x14ac:dyDescent="0.25">
      <c r="A42" s="5" t="s">
        <v>48</v>
      </c>
      <c r="C42" s="38">
        <f>'Paris Feb Paid 2023'!C41</f>
        <v>919875.75</v>
      </c>
      <c r="D42" s="38">
        <f>'Paris Feb Paid 2023'!D41</f>
        <v>1446509.28</v>
      </c>
      <c r="E42" s="110"/>
    </row>
    <row r="43" spans="1:7" x14ac:dyDescent="0.25">
      <c r="A43" s="122" t="s">
        <v>50</v>
      </c>
      <c r="C43" s="38">
        <f>'Paris Feb Paid 2023'!C42</f>
        <v>-802.74</v>
      </c>
      <c r="D43" s="38">
        <f>'Paris Feb Paid 2023'!D42</f>
        <v>-1108.74</v>
      </c>
      <c r="E43" s="111"/>
      <c r="F43" s="112"/>
    </row>
    <row r="44" spans="1:7" x14ac:dyDescent="0.25">
      <c r="A44" s="5" t="s">
        <v>55</v>
      </c>
      <c r="C44" s="38">
        <f>'Paris Feb Paid 2023'!C43</f>
        <v>0</v>
      </c>
      <c r="D44" s="38">
        <f>'Paris Feb Paid 2023'!D43</f>
        <v>559.67999999999995</v>
      </c>
      <c r="E44" s="111"/>
      <c r="F44" s="112"/>
    </row>
    <row r="45" spans="1:7" x14ac:dyDescent="0.25">
      <c r="A45" s="5" t="s">
        <v>49</v>
      </c>
      <c r="C45" s="38">
        <f>C42+C43+C44</f>
        <v>919073.01</v>
      </c>
      <c r="D45" s="38">
        <f>D42+D43+D44</f>
        <v>1445960.22</v>
      </c>
      <c r="E45" s="110"/>
    </row>
    <row r="46" spans="1:7" x14ac:dyDescent="0.25">
      <c r="C46" s="117">
        <f>C45/$B$40</f>
        <v>0.41659369613151698</v>
      </c>
      <c r="D46" s="117">
        <f>ROUNDUP(D45/$B$40,9)</f>
        <v>0.65541899999999997</v>
      </c>
      <c r="E46" s="110"/>
    </row>
    <row r="47" spans="1:7" x14ac:dyDescent="0.25">
      <c r="C47" s="57"/>
      <c r="D47" s="57"/>
      <c r="E47" s="110"/>
    </row>
    <row r="48" spans="1:7" x14ac:dyDescent="0.25">
      <c r="C48" s="57"/>
      <c r="D48" s="57"/>
      <c r="E48" s="110"/>
    </row>
    <row r="49" spans="3:5" x14ac:dyDescent="0.25">
      <c r="C49" s="57"/>
      <c r="D49" s="57"/>
      <c r="E49" s="110"/>
    </row>
    <row r="50" spans="3:5" x14ac:dyDescent="0.25">
      <c r="C50" s="57"/>
      <c r="D50" s="57"/>
      <c r="E50" s="110"/>
    </row>
    <row r="51" spans="3:5" x14ac:dyDescent="0.25">
      <c r="C51" s="55"/>
      <c r="D51" s="55"/>
      <c r="E51" s="55"/>
    </row>
    <row r="52" spans="3:5" x14ac:dyDescent="0.25">
      <c r="C52" s="56"/>
      <c r="D52" s="56"/>
      <c r="E52" s="56"/>
    </row>
  </sheetData>
  <mergeCells count="1">
    <mergeCell ref="A1:G1"/>
  </mergeCells>
  <printOptions horizontalCentered="1"/>
  <pageMargins left="0" right="0" top="0" bottom="0" header="0" footer="0"/>
  <pageSetup scale="84" fitToWidth="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7FEE-2FAA-49C7-9FA5-0C516C924108}">
  <sheetPr transitionEvaluation="1">
    <tabColor rgb="FFFF0000"/>
    <pageSetUpPr fitToPage="1"/>
  </sheetPr>
  <dimension ref="A1:I52"/>
  <sheetViews>
    <sheetView workbookViewId="0">
      <selection activeCell="C13" sqref="C13"/>
    </sheetView>
  </sheetViews>
  <sheetFormatPr defaultRowHeight="15.75" x14ac:dyDescent="0.25"/>
  <cols>
    <col min="1" max="1" width="27" customWidth="1"/>
    <col min="2" max="2" width="16.44140625" customWidth="1"/>
    <col min="3" max="3" width="15.109375" bestFit="1" customWidth="1"/>
    <col min="4" max="4" width="18.109375" bestFit="1" customWidth="1"/>
    <col min="5" max="5" width="13" bestFit="1" customWidth="1"/>
    <col min="6" max="6" width="11.6640625" bestFit="1" customWidth="1"/>
    <col min="7" max="7" width="11.88671875" customWidth="1"/>
    <col min="9" max="9" width="11" bestFit="1" customWidth="1"/>
    <col min="249" max="249" width="23.88671875" bestFit="1" customWidth="1"/>
    <col min="250" max="250" width="18.109375" customWidth="1"/>
    <col min="251" max="251" width="15.109375" bestFit="1" customWidth="1"/>
    <col min="252" max="252" width="16.77734375" bestFit="1" customWidth="1"/>
    <col min="253" max="253" width="13" bestFit="1" customWidth="1"/>
    <col min="254" max="254" width="11.6640625" bestFit="1" customWidth="1"/>
    <col min="255" max="255" width="11.88671875" customWidth="1"/>
    <col min="256" max="256" width="8.77734375" bestFit="1" customWidth="1"/>
    <col min="259" max="259" width="13.44140625" customWidth="1"/>
    <col min="260" max="260" width="10.77734375" customWidth="1"/>
    <col min="505" max="505" width="23.88671875" bestFit="1" customWidth="1"/>
    <col min="506" max="506" width="18.109375" customWidth="1"/>
    <col min="507" max="507" width="15.109375" bestFit="1" customWidth="1"/>
    <col min="508" max="508" width="16.77734375" bestFit="1" customWidth="1"/>
    <col min="509" max="509" width="13" bestFit="1" customWidth="1"/>
    <col min="510" max="510" width="11.6640625" bestFit="1" customWidth="1"/>
    <col min="511" max="511" width="11.88671875" customWidth="1"/>
    <col min="512" max="512" width="8.77734375" bestFit="1" customWidth="1"/>
    <col min="515" max="515" width="13.44140625" customWidth="1"/>
    <col min="516" max="516" width="10.77734375" customWidth="1"/>
    <col min="761" max="761" width="23.88671875" bestFit="1" customWidth="1"/>
    <col min="762" max="762" width="18.109375" customWidth="1"/>
    <col min="763" max="763" width="15.109375" bestFit="1" customWidth="1"/>
    <col min="764" max="764" width="16.77734375" bestFit="1" customWidth="1"/>
    <col min="765" max="765" width="13" bestFit="1" customWidth="1"/>
    <col min="766" max="766" width="11.6640625" bestFit="1" customWidth="1"/>
    <col min="767" max="767" width="11.88671875" customWidth="1"/>
    <col min="768" max="768" width="8.77734375" bestFit="1" customWidth="1"/>
    <col min="771" max="771" width="13.44140625" customWidth="1"/>
    <col min="772" max="772" width="10.77734375" customWidth="1"/>
    <col min="1017" max="1017" width="23.88671875" bestFit="1" customWidth="1"/>
    <col min="1018" max="1018" width="18.109375" customWidth="1"/>
    <col min="1019" max="1019" width="15.109375" bestFit="1" customWidth="1"/>
    <col min="1020" max="1020" width="16.77734375" bestFit="1" customWidth="1"/>
    <col min="1021" max="1021" width="13" bestFit="1" customWidth="1"/>
    <col min="1022" max="1022" width="11.6640625" bestFit="1" customWidth="1"/>
    <col min="1023" max="1023" width="11.88671875" customWidth="1"/>
    <col min="1024" max="1024" width="8.77734375" bestFit="1" customWidth="1"/>
    <col min="1027" max="1027" width="13.44140625" customWidth="1"/>
    <col min="1028" max="1028" width="10.77734375" customWidth="1"/>
    <col min="1273" max="1273" width="23.88671875" bestFit="1" customWidth="1"/>
    <col min="1274" max="1274" width="18.109375" customWidth="1"/>
    <col min="1275" max="1275" width="15.109375" bestFit="1" customWidth="1"/>
    <col min="1276" max="1276" width="16.77734375" bestFit="1" customWidth="1"/>
    <col min="1277" max="1277" width="13" bestFit="1" customWidth="1"/>
    <col min="1278" max="1278" width="11.6640625" bestFit="1" customWidth="1"/>
    <col min="1279" max="1279" width="11.88671875" customWidth="1"/>
    <col min="1280" max="1280" width="8.77734375" bestFit="1" customWidth="1"/>
    <col min="1283" max="1283" width="13.44140625" customWidth="1"/>
    <col min="1284" max="1284" width="10.77734375" customWidth="1"/>
    <col min="1529" max="1529" width="23.88671875" bestFit="1" customWidth="1"/>
    <col min="1530" max="1530" width="18.109375" customWidth="1"/>
    <col min="1531" max="1531" width="15.109375" bestFit="1" customWidth="1"/>
    <col min="1532" max="1532" width="16.77734375" bestFit="1" customWidth="1"/>
    <col min="1533" max="1533" width="13" bestFit="1" customWidth="1"/>
    <col min="1534" max="1534" width="11.6640625" bestFit="1" customWidth="1"/>
    <col min="1535" max="1535" width="11.88671875" customWidth="1"/>
    <col min="1536" max="1536" width="8.77734375" bestFit="1" customWidth="1"/>
    <col min="1539" max="1539" width="13.44140625" customWidth="1"/>
    <col min="1540" max="1540" width="10.77734375" customWidth="1"/>
    <col min="1785" max="1785" width="23.88671875" bestFit="1" customWidth="1"/>
    <col min="1786" max="1786" width="18.109375" customWidth="1"/>
    <col min="1787" max="1787" width="15.109375" bestFit="1" customWidth="1"/>
    <col min="1788" max="1788" width="16.77734375" bestFit="1" customWidth="1"/>
    <col min="1789" max="1789" width="13" bestFit="1" customWidth="1"/>
    <col min="1790" max="1790" width="11.6640625" bestFit="1" customWidth="1"/>
    <col min="1791" max="1791" width="11.88671875" customWidth="1"/>
    <col min="1792" max="1792" width="8.77734375" bestFit="1" customWidth="1"/>
    <col min="1795" max="1795" width="13.44140625" customWidth="1"/>
    <col min="1796" max="1796" width="10.77734375" customWidth="1"/>
    <col min="2041" max="2041" width="23.88671875" bestFit="1" customWidth="1"/>
    <col min="2042" max="2042" width="18.109375" customWidth="1"/>
    <col min="2043" max="2043" width="15.109375" bestFit="1" customWidth="1"/>
    <col min="2044" max="2044" width="16.77734375" bestFit="1" customWidth="1"/>
    <col min="2045" max="2045" width="13" bestFit="1" customWidth="1"/>
    <col min="2046" max="2046" width="11.6640625" bestFit="1" customWidth="1"/>
    <col min="2047" max="2047" width="11.88671875" customWidth="1"/>
    <col min="2048" max="2048" width="8.77734375" bestFit="1" customWidth="1"/>
    <col min="2051" max="2051" width="13.44140625" customWidth="1"/>
    <col min="2052" max="2052" width="10.77734375" customWidth="1"/>
    <col min="2297" max="2297" width="23.88671875" bestFit="1" customWidth="1"/>
    <col min="2298" max="2298" width="18.109375" customWidth="1"/>
    <col min="2299" max="2299" width="15.109375" bestFit="1" customWidth="1"/>
    <col min="2300" max="2300" width="16.77734375" bestFit="1" customWidth="1"/>
    <col min="2301" max="2301" width="13" bestFit="1" customWidth="1"/>
    <col min="2302" max="2302" width="11.6640625" bestFit="1" customWidth="1"/>
    <col min="2303" max="2303" width="11.88671875" customWidth="1"/>
    <col min="2304" max="2304" width="8.77734375" bestFit="1" customWidth="1"/>
    <col min="2307" max="2307" width="13.44140625" customWidth="1"/>
    <col min="2308" max="2308" width="10.77734375" customWidth="1"/>
    <col min="2553" max="2553" width="23.88671875" bestFit="1" customWidth="1"/>
    <col min="2554" max="2554" width="18.109375" customWidth="1"/>
    <col min="2555" max="2555" width="15.109375" bestFit="1" customWidth="1"/>
    <col min="2556" max="2556" width="16.77734375" bestFit="1" customWidth="1"/>
    <col min="2557" max="2557" width="13" bestFit="1" customWidth="1"/>
    <col min="2558" max="2558" width="11.6640625" bestFit="1" customWidth="1"/>
    <col min="2559" max="2559" width="11.88671875" customWidth="1"/>
    <col min="2560" max="2560" width="8.77734375" bestFit="1" customWidth="1"/>
    <col min="2563" max="2563" width="13.44140625" customWidth="1"/>
    <col min="2564" max="2564" width="10.77734375" customWidth="1"/>
    <col min="2809" max="2809" width="23.88671875" bestFit="1" customWidth="1"/>
    <col min="2810" max="2810" width="18.109375" customWidth="1"/>
    <col min="2811" max="2811" width="15.109375" bestFit="1" customWidth="1"/>
    <col min="2812" max="2812" width="16.77734375" bestFit="1" customWidth="1"/>
    <col min="2813" max="2813" width="13" bestFit="1" customWidth="1"/>
    <col min="2814" max="2814" width="11.6640625" bestFit="1" customWidth="1"/>
    <col min="2815" max="2815" width="11.88671875" customWidth="1"/>
    <col min="2816" max="2816" width="8.77734375" bestFit="1" customWidth="1"/>
    <col min="2819" max="2819" width="13.44140625" customWidth="1"/>
    <col min="2820" max="2820" width="10.77734375" customWidth="1"/>
    <col min="3065" max="3065" width="23.88671875" bestFit="1" customWidth="1"/>
    <col min="3066" max="3066" width="18.109375" customWidth="1"/>
    <col min="3067" max="3067" width="15.109375" bestFit="1" customWidth="1"/>
    <col min="3068" max="3068" width="16.77734375" bestFit="1" customWidth="1"/>
    <col min="3069" max="3069" width="13" bestFit="1" customWidth="1"/>
    <col min="3070" max="3070" width="11.6640625" bestFit="1" customWidth="1"/>
    <col min="3071" max="3071" width="11.88671875" customWidth="1"/>
    <col min="3072" max="3072" width="8.77734375" bestFit="1" customWidth="1"/>
    <col min="3075" max="3075" width="13.44140625" customWidth="1"/>
    <col min="3076" max="3076" width="10.77734375" customWidth="1"/>
    <col min="3321" max="3321" width="23.88671875" bestFit="1" customWidth="1"/>
    <col min="3322" max="3322" width="18.109375" customWidth="1"/>
    <col min="3323" max="3323" width="15.109375" bestFit="1" customWidth="1"/>
    <col min="3324" max="3324" width="16.77734375" bestFit="1" customWidth="1"/>
    <col min="3325" max="3325" width="13" bestFit="1" customWidth="1"/>
    <col min="3326" max="3326" width="11.6640625" bestFit="1" customWidth="1"/>
    <col min="3327" max="3327" width="11.88671875" customWidth="1"/>
    <col min="3328" max="3328" width="8.77734375" bestFit="1" customWidth="1"/>
    <col min="3331" max="3331" width="13.44140625" customWidth="1"/>
    <col min="3332" max="3332" width="10.77734375" customWidth="1"/>
    <col min="3577" max="3577" width="23.88671875" bestFit="1" customWidth="1"/>
    <col min="3578" max="3578" width="18.109375" customWidth="1"/>
    <col min="3579" max="3579" width="15.109375" bestFit="1" customWidth="1"/>
    <col min="3580" max="3580" width="16.77734375" bestFit="1" customWidth="1"/>
    <col min="3581" max="3581" width="13" bestFit="1" customWidth="1"/>
    <col min="3582" max="3582" width="11.6640625" bestFit="1" customWidth="1"/>
    <col min="3583" max="3583" width="11.88671875" customWidth="1"/>
    <col min="3584" max="3584" width="8.77734375" bestFit="1" customWidth="1"/>
    <col min="3587" max="3587" width="13.44140625" customWidth="1"/>
    <col min="3588" max="3588" width="10.77734375" customWidth="1"/>
    <col min="3833" max="3833" width="23.88671875" bestFit="1" customWidth="1"/>
    <col min="3834" max="3834" width="18.109375" customWidth="1"/>
    <col min="3835" max="3835" width="15.109375" bestFit="1" customWidth="1"/>
    <col min="3836" max="3836" width="16.77734375" bestFit="1" customWidth="1"/>
    <col min="3837" max="3837" width="13" bestFit="1" customWidth="1"/>
    <col min="3838" max="3838" width="11.6640625" bestFit="1" customWidth="1"/>
    <col min="3839" max="3839" width="11.88671875" customWidth="1"/>
    <col min="3840" max="3840" width="8.77734375" bestFit="1" customWidth="1"/>
    <col min="3843" max="3843" width="13.44140625" customWidth="1"/>
    <col min="3844" max="3844" width="10.77734375" customWidth="1"/>
    <col min="4089" max="4089" width="23.88671875" bestFit="1" customWidth="1"/>
    <col min="4090" max="4090" width="18.109375" customWidth="1"/>
    <col min="4091" max="4091" width="15.109375" bestFit="1" customWidth="1"/>
    <col min="4092" max="4092" width="16.77734375" bestFit="1" customWidth="1"/>
    <col min="4093" max="4093" width="13" bestFit="1" customWidth="1"/>
    <col min="4094" max="4094" width="11.6640625" bestFit="1" customWidth="1"/>
    <col min="4095" max="4095" width="11.88671875" customWidth="1"/>
    <col min="4096" max="4096" width="8.77734375" bestFit="1" customWidth="1"/>
    <col min="4099" max="4099" width="13.44140625" customWidth="1"/>
    <col min="4100" max="4100" width="10.77734375" customWidth="1"/>
    <col min="4345" max="4345" width="23.88671875" bestFit="1" customWidth="1"/>
    <col min="4346" max="4346" width="18.109375" customWidth="1"/>
    <col min="4347" max="4347" width="15.109375" bestFit="1" customWidth="1"/>
    <col min="4348" max="4348" width="16.77734375" bestFit="1" customWidth="1"/>
    <col min="4349" max="4349" width="13" bestFit="1" customWidth="1"/>
    <col min="4350" max="4350" width="11.6640625" bestFit="1" customWidth="1"/>
    <col min="4351" max="4351" width="11.88671875" customWidth="1"/>
    <col min="4352" max="4352" width="8.77734375" bestFit="1" customWidth="1"/>
    <col min="4355" max="4355" width="13.44140625" customWidth="1"/>
    <col min="4356" max="4356" width="10.77734375" customWidth="1"/>
    <col min="4601" max="4601" width="23.88671875" bestFit="1" customWidth="1"/>
    <col min="4602" max="4602" width="18.109375" customWidth="1"/>
    <col min="4603" max="4603" width="15.109375" bestFit="1" customWidth="1"/>
    <col min="4604" max="4604" width="16.77734375" bestFit="1" customWidth="1"/>
    <col min="4605" max="4605" width="13" bestFit="1" customWidth="1"/>
    <col min="4606" max="4606" width="11.6640625" bestFit="1" customWidth="1"/>
    <col min="4607" max="4607" width="11.88671875" customWidth="1"/>
    <col min="4608" max="4608" width="8.77734375" bestFit="1" customWidth="1"/>
    <col min="4611" max="4611" width="13.44140625" customWidth="1"/>
    <col min="4612" max="4612" width="10.77734375" customWidth="1"/>
    <col min="4857" max="4857" width="23.88671875" bestFit="1" customWidth="1"/>
    <col min="4858" max="4858" width="18.109375" customWidth="1"/>
    <col min="4859" max="4859" width="15.109375" bestFit="1" customWidth="1"/>
    <col min="4860" max="4860" width="16.77734375" bestFit="1" customWidth="1"/>
    <col min="4861" max="4861" width="13" bestFit="1" customWidth="1"/>
    <col min="4862" max="4862" width="11.6640625" bestFit="1" customWidth="1"/>
    <col min="4863" max="4863" width="11.88671875" customWidth="1"/>
    <col min="4864" max="4864" width="8.77734375" bestFit="1" customWidth="1"/>
    <col min="4867" max="4867" width="13.44140625" customWidth="1"/>
    <col min="4868" max="4868" width="10.77734375" customWidth="1"/>
    <col min="5113" max="5113" width="23.88671875" bestFit="1" customWidth="1"/>
    <col min="5114" max="5114" width="18.109375" customWidth="1"/>
    <col min="5115" max="5115" width="15.109375" bestFit="1" customWidth="1"/>
    <col min="5116" max="5116" width="16.77734375" bestFit="1" customWidth="1"/>
    <col min="5117" max="5117" width="13" bestFit="1" customWidth="1"/>
    <col min="5118" max="5118" width="11.6640625" bestFit="1" customWidth="1"/>
    <col min="5119" max="5119" width="11.88671875" customWidth="1"/>
    <col min="5120" max="5120" width="8.77734375" bestFit="1" customWidth="1"/>
    <col min="5123" max="5123" width="13.44140625" customWidth="1"/>
    <col min="5124" max="5124" width="10.77734375" customWidth="1"/>
    <col min="5369" max="5369" width="23.88671875" bestFit="1" customWidth="1"/>
    <col min="5370" max="5370" width="18.109375" customWidth="1"/>
    <col min="5371" max="5371" width="15.109375" bestFit="1" customWidth="1"/>
    <col min="5372" max="5372" width="16.77734375" bestFit="1" customWidth="1"/>
    <col min="5373" max="5373" width="13" bestFit="1" customWidth="1"/>
    <col min="5374" max="5374" width="11.6640625" bestFit="1" customWidth="1"/>
    <col min="5375" max="5375" width="11.88671875" customWidth="1"/>
    <col min="5376" max="5376" width="8.77734375" bestFit="1" customWidth="1"/>
    <col min="5379" max="5379" width="13.44140625" customWidth="1"/>
    <col min="5380" max="5380" width="10.77734375" customWidth="1"/>
    <col min="5625" max="5625" width="23.88671875" bestFit="1" customWidth="1"/>
    <col min="5626" max="5626" width="18.109375" customWidth="1"/>
    <col min="5627" max="5627" width="15.109375" bestFit="1" customWidth="1"/>
    <col min="5628" max="5628" width="16.77734375" bestFit="1" customWidth="1"/>
    <col min="5629" max="5629" width="13" bestFit="1" customWidth="1"/>
    <col min="5630" max="5630" width="11.6640625" bestFit="1" customWidth="1"/>
    <col min="5631" max="5631" width="11.88671875" customWidth="1"/>
    <col min="5632" max="5632" width="8.77734375" bestFit="1" customWidth="1"/>
    <col min="5635" max="5635" width="13.44140625" customWidth="1"/>
    <col min="5636" max="5636" width="10.77734375" customWidth="1"/>
    <col min="5881" max="5881" width="23.88671875" bestFit="1" customWidth="1"/>
    <col min="5882" max="5882" width="18.109375" customWidth="1"/>
    <col min="5883" max="5883" width="15.109375" bestFit="1" customWidth="1"/>
    <col min="5884" max="5884" width="16.77734375" bestFit="1" customWidth="1"/>
    <col min="5885" max="5885" width="13" bestFit="1" customWidth="1"/>
    <col min="5886" max="5886" width="11.6640625" bestFit="1" customWidth="1"/>
    <col min="5887" max="5887" width="11.88671875" customWidth="1"/>
    <col min="5888" max="5888" width="8.77734375" bestFit="1" customWidth="1"/>
    <col min="5891" max="5891" width="13.44140625" customWidth="1"/>
    <col min="5892" max="5892" width="10.77734375" customWidth="1"/>
    <col min="6137" max="6137" width="23.88671875" bestFit="1" customWidth="1"/>
    <col min="6138" max="6138" width="18.109375" customWidth="1"/>
    <col min="6139" max="6139" width="15.109375" bestFit="1" customWidth="1"/>
    <col min="6140" max="6140" width="16.77734375" bestFit="1" customWidth="1"/>
    <col min="6141" max="6141" width="13" bestFit="1" customWidth="1"/>
    <col min="6142" max="6142" width="11.6640625" bestFit="1" customWidth="1"/>
    <col min="6143" max="6143" width="11.88671875" customWidth="1"/>
    <col min="6144" max="6144" width="8.77734375" bestFit="1" customWidth="1"/>
    <col min="6147" max="6147" width="13.44140625" customWidth="1"/>
    <col min="6148" max="6148" width="10.77734375" customWidth="1"/>
    <col min="6393" max="6393" width="23.88671875" bestFit="1" customWidth="1"/>
    <col min="6394" max="6394" width="18.109375" customWidth="1"/>
    <col min="6395" max="6395" width="15.109375" bestFit="1" customWidth="1"/>
    <col min="6396" max="6396" width="16.77734375" bestFit="1" customWidth="1"/>
    <col min="6397" max="6397" width="13" bestFit="1" customWidth="1"/>
    <col min="6398" max="6398" width="11.6640625" bestFit="1" customWidth="1"/>
    <col min="6399" max="6399" width="11.88671875" customWidth="1"/>
    <col min="6400" max="6400" width="8.77734375" bestFit="1" customWidth="1"/>
    <col min="6403" max="6403" width="13.44140625" customWidth="1"/>
    <col min="6404" max="6404" width="10.77734375" customWidth="1"/>
    <col min="6649" max="6649" width="23.88671875" bestFit="1" customWidth="1"/>
    <col min="6650" max="6650" width="18.109375" customWidth="1"/>
    <col min="6651" max="6651" width="15.109375" bestFit="1" customWidth="1"/>
    <col min="6652" max="6652" width="16.77734375" bestFit="1" customWidth="1"/>
    <col min="6653" max="6653" width="13" bestFit="1" customWidth="1"/>
    <col min="6654" max="6654" width="11.6640625" bestFit="1" customWidth="1"/>
    <col min="6655" max="6655" width="11.88671875" customWidth="1"/>
    <col min="6656" max="6656" width="8.77734375" bestFit="1" customWidth="1"/>
    <col min="6659" max="6659" width="13.44140625" customWidth="1"/>
    <col min="6660" max="6660" width="10.77734375" customWidth="1"/>
    <col min="6905" max="6905" width="23.88671875" bestFit="1" customWidth="1"/>
    <col min="6906" max="6906" width="18.109375" customWidth="1"/>
    <col min="6907" max="6907" width="15.109375" bestFit="1" customWidth="1"/>
    <col min="6908" max="6908" width="16.77734375" bestFit="1" customWidth="1"/>
    <col min="6909" max="6909" width="13" bestFit="1" customWidth="1"/>
    <col min="6910" max="6910" width="11.6640625" bestFit="1" customWidth="1"/>
    <col min="6911" max="6911" width="11.88671875" customWidth="1"/>
    <col min="6912" max="6912" width="8.77734375" bestFit="1" customWidth="1"/>
    <col min="6915" max="6915" width="13.44140625" customWidth="1"/>
    <col min="6916" max="6916" width="10.77734375" customWidth="1"/>
    <col min="7161" max="7161" width="23.88671875" bestFit="1" customWidth="1"/>
    <col min="7162" max="7162" width="18.109375" customWidth="1"/>
    <col min="7163" max="7163" width="15.109375" bestFit="1" customWidth="1"/>
    <col min="7164" max="7164" width="16.77734375" bestFit="1" customWidth="1"/>
    <col min="7165" max="7165" width="13" bestFit="1" customWidth="1"/>
    <col min="7166" max="7166" width="11.6640625" bestFit="1" customWidth="1"/>
    <col min="7167" max="7167" width="11.88671875" customWidth="1"/>
    <col min="7168" max="7168" width="8.77734375" bestFit="1" customWidth="1"/>
    <col min="7171" max="7171" width="13.44140625" customWidth="1"/>
    <col min="7172" max="7172" width="10.77734375" customWidth="1"/>
    <col min="7417" max="7417" width="23.88671875" bestFit="1" customWidth="1"/>
    <col min="7418" max="7418" width="18.109375" customWidth="1"/>
    <col min="7419" max="7419" width="15.109375" bestFit="1" customWidth="1"/>
    <col min="7420" max="7420" width="16.77734375" bestFit="1" customWidth="1"/>
    <col min="7421" max="7421" width="13" bestFit="1" customWidth="1"/>
    <col min="7422" max="7422" width="11.6640625" bestFit="1" customWidth="1"/>
    <col min="7423" max="7423" width="11.88671875" customWidth="1"/>
    <col min="7424" max="7424" width="8.77734375" bestFit="1" customWidth="1"/>
    <col min="7427" max="7427" width="13.44140625" customWidth="1"/>
    <col min="7428" max="7428" width="10.77734375" customWidth="1"/>
    <col min="7673" max="7673" width="23.88671875" bestFit="1" customWidth="1"/>
    <col min="7674" max="7674" width="18.109375" customWidth="1"/>
    <col min="7675" max="7675" width="15.109375" bestFit="1" customWidth="1"/>
    <col min="7676" max="7676" width="16.77734375" bestFit="1" customWidth="1"/>
    <col min="7677" max="7677" width="13" bestFit="1" customWidth="1"/>
    <col min="7678" max="7678" width="11.6640625" bestFit="1" customWidth="1"/>
    <col min="7679" max="7679" width="11.88671875" customWidth="1"/>
    <col min="7680" max="7680" width="8.77734375" bestFit="1" customWidth="1"/>
    <col min="7683" max="7683" width="13.44140625" customWidth="1"/>
    <col min="7684" max="7684" width="10.77734375" customWidth="1"/>
    <col min="7929" max="7929" width="23.88671875" bestFit="1" customWidth="1"/>
    <col min="7930" max="7930" width="18.109375" customWidth="1"/>
    <col min="7931" max="7931" width="15.109375" bestFit="1" customWidth="1"/>
    <col min="7932" max="7932" width="16.77734375" bestFit="1" customWidth="1"/>
    <col min="7933" max="7933" width="13" bestFit="1" customWidth="1"/>
    <col min="7934" max="7934" width="11.6640625" bestFit="1" customWidth="1"/>
    <col min="7935" max="7935" width="11.88671875" customWidth="1"/>
    <col min="7936" max="7936" width="8.77734375" bestFit="1" customWidth="1"/>
    <col min="7939" max="7939" width="13.44140625" customWidth="1"/>
    <col min="7940" max="7940" width="10.77734375" customWidth="1"/>
    <col min="8185" max="8185" width="23.88671875" bestFit="1" customWidth="1"/>
    <col min="8186" max="8186" width="18.109375" customWidth="1"/>
    <col min="8187" max="8187" width="15.109375" bestFit="1" customWidth="1"/>
    <col min="8188" max="8188" width="16.77734375" bestFit="1" customWidth="1"/>
    <col min="8189" max="8189" width="13" bestFit="1" customWidth="1"/>
    <col min="8190" max="8190" width="11.6640625" bestFit="1" customWidth="1"/>
    <col min="8191" max="8191" width="11.88671875" customWidth="1"/>
    <col min="8192" max="8192" width="8.77734375" bestFit="1" customWidth="1"/>
    <col min="8195" max="8195" width="13.44140625" customWidth="1"/>
    <col min="8196" max="8196" width="10.77734375" customWidth="1"/>
    <col min="8441" max="8441" width="23.88671875" bestFit="1" customWidth="1"/>
    <col min="8442" max="8442" width="18.109375" customWidth="1"/>
    <col min="8443" max="8443" width="15.109375" bestFit="1" customWidth="1"/>
    <col min="8444" max="8444" width="16.77734375" bestFit="1" customWidth="1"/>
    <col min="8445" max="8445" width="13" bestFit="1" customWidth="1"/>
    <col min="8446" max="8446" width="11.6640625" bestFit="1" customWidth="1"/>
    <col min="8447" max="8447" width="11.88671875" customWidth="1"/>
    <col min="8448" max="8448" width="8.77734375" bestFit="1" customWidth="1"/>
    <col min="8451" max="8451" width="13.44140625" customWidth="1"/>
    <col min="8452" max="8452" width="10.77734375" customWidth="1"/>
    <col min="8697" max="8697" width="23.88671875" bestFit="1" customWidth="1"/>
    <col min="8698" max="8698" width="18.109375" customWidth="1"/>
    <col min="8699" max="8699" width="15.109375" bestFit="1" customWidth="1"/>
    <col min="8700" max="8700" width="16.77734375" bestFit="1" customWidth="1"/>
    <col min="8701" max="8701" width="13" bestFit="1" customWidth="1"/>
    <col min="8702" max="8702" width="11.6640625" bestFit="1" customWidth="1"/>
    <col min="8703" max="8703" width="11.88671875" customWidth="1"/>
    <col min="8704" max="8704" width="8.77734375" bestFit="1" customWidth="1"/>
    <col min="8707" max="8707" width="13.44140625" customWidth="1"/>
    <col min="8708" max="8708" width="10.77734375" customWidth="1"/>
    <col min="8953" max="8953" width="23.88671875" bestFit="1" customWidth="1"/>
    <col min="8954" max="8954" width="18.109375" customWidth="1"/>
    <col min="8955" max="8955" width="15.109375" bestFit="1" customWidth="1"/>
    <col min="8956" max="8956" width="16.77734375" bestFit="1" customWidth="1"/>
    <col min="8957" max="8957" width="13" bestFit="1" customWidth="1"/>
    <col min="8958" max="8958" width="11.6640625" bestFit="1" customWidth="1"/>
    <col min="8959" max="8959" width="11.88671875" customWidth="1"/>
    <col min="8960" max="8960" width="8.77734375" bestFit="1" customWidth="1"/>
    <col min="8963" max="8963" width="13.44140625" customWidth="1"/>
    <col min="8964" max="8964" width="10.77734375" customWidth="1"/>
    <col min="9209" max="9209" width="23.88671875" bestFit="1" customWidth="1"/>
    <col min="9210" max="9210" width="18.109375" customWidth="1"/>
    <col min="9211" max="9211" width="15.109375" bestFit="1" customWidth="1"/>
    <col min="9212" max="9212" width="16.77734375" bestFit="1" customWidth="1"/>
    <col min="9213" max="9213" width="13" bestFit="1" customWidth="1"/>
    <col min="9214" max="9214" width="11.6640625" bestFit="1" customWidth="1"/>
    <col min="9215" max="9215" width="11.88671875" customWidth="1"/>
    <col min="9216" max="9216" width="8.77734375" bestFit="1" customWidth="1"/>
    <col min="9219" max="9219" width="13.44140625" customWidth="1"/>
    <col min="9220" max="9220" width="10.77734375" customWidth="1"/>
    <col min="9465" max="9465" width="23.88671875" bestFit="1" customWidth="1"/>
    <col min="9466" max="9466" width="18.109375" customWidth="1"/>
    <col min="9467" max="9467" width="15.109375" bestFit="1" customWidth="1"/>
    <col min="9468" max="9468" width="16.77734375" bestFit="1" customWidth="1"/>
    <col min="9469" max="9469" width="13" bestFit="1" customWidth="1"/>
    <col min="9470" max="9470" width="11.6640625" bestFit="1" customWidth="1"/>
    <col min="9471" max="9471" width="11.88671875" customWidth="1"/>
    <col min="9472" max="9472" width="8.77734375" bestFit="1" customWidth="1"/>
    <col min="9475" max="9475" width="13.44140625" customWidth="1"/>
    <col min="9476" max="9476" width="10.77734375" customWidth="1"/>
    <col min="9721" max="9721" width="23.88671875" bestFit="1" customWidth="1"/>
    <col min="9722" max="9722" width="18.109375" customWidth="1"/>
    <col min="9723" max="9723" width="15.109375" bestFit="1" customWidth="1"/>
    <col min="9724" max="9724" width="16.77734375" bestFit="1" customWidth="1"/>
    <col min="9725" max="9725" width="13" bestFit="1" customWidth="1"/>
    <col min="9726" max="9726" width="11.6640625" bestFit="1" customWidth="1"/>
    <col min="9727" max="9727" width="11.88671875" customWidth="1"/>
    <col min="9728" max="9728" width="8.77734375" bestFit="1" customWidth="1"/>
    <col min="9731" max="9731" width="13.44140625" customWidth="1"/>
    <col min="9732" max="9732" width="10.77734375" customWidth="1"/>
    <col min="9977" max="9977" width="23.88671875" bestFit="1" customWidth="1"/>
    <col min="9978" max="9978" width="18.109375" customWidth="1"/>
    <col min="9979" max="9979" width="15.109375" bestFit="1" customWidth="1"/>
    <col min="9980" max="9980" width="16.77734375" bestFit="1" customWidth="1"/>
    <col min="9981" max="9981" width="13" bestFit="1" customWidth="1"/>
    <col min="9982" max="9982" width="11.6640625" bestFit="1" customWidth="1"/>
    <col min="9983" max="9983" width="11.88671875" customWidth="1"/>
    <col min="9984" max="9984" width="8.77734375" bestFit="1" customWidth="1"/>
    <col min="9987" max="9987" width="13.44140625" customWidth="1"/>
    <col min="9988" max="9988" width="10.77734375" customWidth="1"/>
    <col min="10233" max="10233" width="23.88671875" bestFit="1" customWidth="1"/>
    <col min="10234" max="10234" width="18.109375" customWidth="1"/>
    <col min="10235" max="10235" width="15.109375" bestFit="1" customWidth="1"/>
    <col min="10236" max="10236" width="16.77734375" bestFit="1" customWidth="1"/>
    <col min="10237" max="10237" width="13" bestFit="1" customWidth="1"/>
    <col min="10238" max="10238" width="11.6640625" bestFit="1" customWidth="1"/>
    <col min="10239" max="10239" width="11.88671875" customWidth="1"/>
    <col min="10240" max="10240" width="8.77734375" bestFit="1" customWidth="1"/>
    <col min="10243" max="10243" width="13.44140625" customWidth="1"/>
    <col min="10244" max="10244" width="10.77734375" customWidth="1"/>
    <col min="10489" max="10489" width="23.88671875" bestFit="1" customWidth="1"/>
    <col min="10490" max="10490" width="18.109375" customWidth="1"/>
    <col min="10491" max="10491" width="15.109375" bestFit="1" customWidth="1"/>
    <col min="10492" max="10492" width="16.77734375" bestFit="1" customWidth="1"/>
    <col min="10493" max="10493" width="13" bestFit="1" customWidth="1"/>
    <col min="10494" max="10494" width="11.6640625" bestFit="1" customWidth="1"/>
    <col min="10495" max="10495" width="11.88671875" customWidth="1"/>
    <col min="10496" max="10496" width="8.77734375" bestFit="1" customWidth="1"/>
    <col min="10499" max="10499" width="13.44140625" customWidth="1"/>
    <col min="10500" max="10500" width="10.77734375" customWidth="1"/>
    <col min="10745" max="10745" width="23.88671875" bestFit="1" customWidth="1"/>
    <col min="10746" max="10746" width="18.109375" customWidth="1"/>
    <col min="10747" max="10747" width="15.109375" bestFit="1" customWidth="1"/>
    <col min="10748" max="10748" width="16.77734375" bestFit="1" customWidth="1"/>
    <col min="10749" max="10749" width="13" bestFit="1" customWidth="1"/>
    <col min="10750" max="10750" width="11.6640625" bestFit="1" customWidth="1"/>
    <col min="10751" max="10751" width="11.88671875" customWidth="1"/>
    <col min="10752" max="10752" width="8.77734375" bestFit="1" customWidth="1"/>
    <col min="10755" max="10755" width="13.44140625" customWidth="1"/>
    <col min="10756" max="10756" width="10.77734375" customWidth="1"/>
    <col min="11001" max="11001" width="23.88671875" bestFit="1" customWidth="1"/>
    <col min="11002" max="11002" width="18.109375" customWidth="1"/>
    <col min="11003" max="11003" width="15.109375" bestFit="1" customWidth="1"/>
    <col min="11004" max="11004" width="16.77734375" bestFit="1" customWidth="1"/>
    <col min="11005" max="11005" width="13" bestFit="1" customWidth="1"/>
    <col min="11006" max="11006" width="11.6640625" bestFit="1" customWidth="1"/>
    <col min="11007" max="11007" width="11.88671875" customWidth="1"/>
    <col min="11008" max="11008" width="8.77734375" bestFit="1" customWidth="1"/>
    <col min="11011" max="11011" width="13.44140625" customWidth="1"/>
    <col min="11012" max="11012" width="10.77734375" customWidth="1"/>
    <col min="11257" max="11257" width="23.88671875" bestFit="1" customWidth="1"/>
    <col min="11258" max="11258" width="18.109375" customWidth="1"/>
    <col min="11259" max="11259" width="15.109375" bestFit="1" customWidth="1"/>
    <col min="11260" max="11260" width="16.77734375" bestFit="1" customWidth="1"/>
    <col min="11261" max="11261" width="13" bestFit="1" customWidth="1"/>
    <col min="11262" max="11262" width="11.6640625" bestFit="1" customWidth="1"/>
    <col min="11263" max="11263" width="11.88671875" customWidth="1"/>
    <col min="11264" max="11264" width="8.77734375" bestFit="1" customWidth="1"/>
    <col min="11267" max="11267" width="13.44140625" customWidth="1"/>
    <col min="11268" max="11268" width="10.77734375" customWidth="1"/>
    <col min="11513" max="11513" width="23.88671875" bestFit="1" customWidth="1"/>
    <col min="11514" max="11514" width="18.109375" customWidth="1"/>
    <col min="11515" max="11515" width="15.109375" bestFit="1" customWidth="1"/>
    <col min="11516" max="11516" width="16.77734375" bestFit="1" customWidth="1"/>
    <col min="11517" max="11517" width="13" bestFit="1" customWidth="1"/>
    <col min="11518" max="11518" width="11.6640625" bestFit="1" customWidth="1"/>
    <col min="11519" max="11519" width="11.88671875" customWidth="1"/>
    <col min="11520" max="11520" width="8.77734375" bestFit="1" customWidth="1"/>
    <col min="11523" max="11523" width="13.44140625" customWidth="1"/>
    <col min="11524" max="11524" width="10.77734375" customWidth="1"/>
    <col min="11769" max="11769" width="23.88671875" bestFit="1" customWidth="1"/>
    <col min="11770" max="11770" width="18.109375" customWidth="1"/>
    <col min="11771" max="11771" width="15.109375" bestFit="1" customWidth="1"/>
    <col min="11772" max="11772" width="16.77734375" bestFit="1" customWidth="1"/>
    <col min="11773" max="11773" width="13" bestFit="1" customWidth="1"/>
    <col min="11774" max="11774" width="11.6640625" bestFit="1" customWidth="1"/>
    <col min="11775" max="11775" width="11.88671875" customWidth="1"/>
    <col min="11776" max="11776" width="8.77734375" bestFit="1" customWidth="1"/>
    <col min="11779" max="11779" width="13.44140625" customWidth="1"/>
    <col min="11780" max="11780" width="10.77734375" customWidth="1"/>
    <col min="12025" max="12025" width="23.88671875" bestFit="1" customWidth="1"/>
    <col min="12026" max="12026" width="18.109375" customWidth="1"/>
    <col min="12027" max="12027" width="15.109375" bestFit="1" customWidth="1"/>
    <col min="12028" max="12028" width="16.77734375" bestFit="1" customWidth="1"/>
    <col min="12029" max="12029" width="13" bestFit="1" customWidth="1"/>
    <col min="12030" max="12030" width="11.6640625" bestFit="1" customWidth="1"/>
    <col min="12031" max="12031" width="11.88671875" customWidth="1"/>
    <col min="12032" max="12032" width="8.77734375" bestFit="1" customWidth="1"/>
    <col min="12035" max="12035" width="13.44140625" customWidth="1"/>
    <col min="12036" max="12036" width="10.77734375" customWidth="1"/>
    <col min="12281" max="12281" width="23.88671875" bestFit="1" customWidth="1"/>
    <col min="12282" max="12282" width="18.109375" customWidth="1"/>
    <col min="12283" max="12283" width="15.109375" bestFit="1" customWidth="1"/>
    <col min="12284" max="12284" width="16.77734375" bestFit="1" customWidth="1"/>
    <col min="12285" max="12285" width="13" bestFit="1" customWidth="1"/>
    <col min="12286" max="12286" width="11.6640625" bestFit="1" customWidth="1"/>
    <col min="12287" max="12287" width="11.88671875" customWidth="1"/>
    <col min="12288" max="12288" width="8.77734375" bestFit="1" customWidth="1"/>
    <col min="12291" max="12291" width="13.44140625" customWidth="1"/>
    <col min="12292" max="12292" width="10.77734375" customWidth="1"/>
    <col min="12537" max="12537" width="23.88671875" bestFit="1" customWidth="1"/>
    <col min="12538" max="12538" width="18.109375" customWidth="1"/>
    <col min="12539" max="12539" width="15.109375" bestFit="1" customWidth="1"/>
    <col min="12540" max="12540" width="16.77734375" bestFit="1" customWidth="1"/>
    <col min="12541" max="12541" width="13" bestFit="1" customWidth="1"/>
    <col min="12542" max="12542" width="11.6640625" bestFit="1" customWidth="1"/>
    <col min="12543" max="12543" width="11.88671875" customWidth="1"/>
    <col min="12544" max="12544" width="8.77734375" bestFit="1" customWidth="1"/>
    <col min="12547" max="12547" width="13.44140625" customWidth="1"/>
    <col min="12548" max="12548" width="10.77734375" customWidth="1"/>
    <col min="12793" max="12793" width="23.88671875" bestFit="1" customWidth="1"/>
    <col min="12794" max="12794" width="18.109375" customWidth="1"/>
    <col min="12795" max="12795" width="15.109375" bestFit="1" customWidth="1"/>
    <col min="12796" max="12796" width="16.77734375" bestFit="1" customWidth="1"/>
    <col min="12797" max="12797" width="13" bestFit="1" customWidth="1"/>
    <col min="12798" max="12798" width="11.6640625" bestFit="1" customWidth="1"/>
    <col min="12799" max="12799" width="11.88671875" customWidth="1"/>
    <col min="12800" max="12800" width="8.77734375" bestFit="1" customWidth="1"/>
    <col min="12803" max="12803" width="13.44140625" customWidth="1"/>
    <col min="12804" max="12804" width="10.77734375" customWidth="1"/>
    <col min="13049" max="13049" width="23.88671875" bestFit="1" customWidth="1"/>
    <col min="13050" max="13050" width="18.109375" customWidth="1"/>
    <col min="13051" max="13051" width="15.109375" bestFit="1" customWidth="1"/>
    <col min="13052" max="13052" width="16.77734375" bestFit="1" customWidth="1"/>
    <col min="13053" max="13053" width="13" bestFit="1" customWidth="1"/>
    <col min="13054" max="13054" width="11.6640625" bestFit="1" customWidth="1"/>
    <col min="13055" max="13055" width="11.88671875" customWidth="1"/>
    <col min="13056" max="13056" width="8.77734375" bestFit="1" customWidth="1"/>
    <col min="13059" max="13059" width="13.44140625" customWidth="1"/>
    <col min="13060" max="13060" width="10.77734375" customWidth="1"/>
    <col min="13305" max="13305" width="23.88671875" bestFit="1" customWidth="1"/>
    <col min="13306" max="13306" width="18.109375" customWidth="1"/>
    <col min="13307" max="13307" width="15.109375" bestFit="1" customWidth="1"/>
    <col min="13308" max="13308" width="16.77734375" bestFit="1" customWidth="1"/>
    <col min="13309" max="13309" width="13" bestFit="1" customWidth="1"/>
    <col min="13310" max="13310" width="11.6640625" bestFit="1" customWidth="1"/>
    <col min="13311" max="13311" width="11.88671875" customWidth="1"/>
    <col min="13312" max="13312" width="8.77734375" bestFit="1" customWidth="1"/>
    <col min="13315" max="13315" width="13.44140625" customWidth="1"/>
    <col min="13316" max="13316" width="10.77734375" customWidth="1"/>
    <col min="13561" max="13561" width="23.88671875" bestFit="1" customWidth="1"/>
    <col min="13562" max="13562" width="18.109375" customWidth="1"/>
    <col min="13563" max="13563" width="15.109375" bestFit="1" customWidth="1"/>
    <col min="13564" max="13564" width="16.77734375" bestFit="1" customWidth="1"/>
    <col min="13565" max="13565" width="13" bestFit="1" customWidth="1"/>
    <col min="13566" max="13566" width="11.6640625" bestFit="1" customWidth="1"/>
    <col min="13567" max="13567" width="11.88671875" customWidth="1"/>
    <col min="13568" max="13568" width="8.77734375" bestFit="1" customWidth="1"/>
    <col min="13571" max="13571" width="13.44140625" customWidth="1"/>
    <col min="13572" max="13572" width="10.77734375" customWidth="1"/>
    <col min="13817" max="13817" width="23.88671875" bestFit="1" customWidth="1"/>
    <col min="13818" max="13818" width="18.109375" customWidth="1"/>
    <col min="13819" max="13819" width="15.109375" bestFit="1" customWidth="1"/>
    <col min="13820" max="13820" width="16.77734375" bestFit="1" customWidth="1"/>
    <col min="13821" max="13821" width="13" bestFit="1" customWidth="1"/>
    <col min="13822" max="13822" width="11.6640625" bestFit="1" customWidth="1"/>
    <col min="13823" max="13823" width="11.88671875" customWidth="1"/>
    <col min="13824" max="13824" width="8.77734375" bestFit="1" customWidth="1"/>
    <col min="13827" max="13827" width="13.44140625" customWidth="1"/>
    <col min="13828" max="13828" width="10.77734375" customWidth="1"/>
    <col min="14073" max="14073" width="23.88671875" bestFit="1" customWidth="1"/>
    <col min="14074" max="14074" width="18.109375" customWidth="1"/>
    <col min="14075" max="14075" width="15.109375" bestFit="1" customWidth="1"/>
    <col min="14076" max="14076" width="16.77734375" bestFit="1" customWidth="1"/>
    <col min="14077" max="14077" width="13" bestFit="1" customWidth="1"/>
    <col min="14078" max="14078" width="11.6640625" bestFit="1" customWidth="1"/>
    <col min="14079" max="14079" width="11.88671875" customWidth="1"/>
    <col min="14080" max="14080" width="8.77734375" bestFit="1" customWidth="1"/>
    <col min="14083" max="14083" width="13.44140625" customWidth="1"/>
    <col min="14084" max="14084" width="10.77734375" customWidth="1"/>
    <col min="14329" max="14329" width="23.88671875" bestFit="1" customWidth="1"/>
    <col min="14330" max="14330" width="18.109375" customWidth="1"/>
    <col min="14331" max="14331" width="15.109375" bestFit="1" customWidth="1"/>
    <col min="14332" max="14332" width="16.77734375" bestFit="1" customWidth="1"/>
    <col min="14333" max="14333" width="13" bestFit="1" customWidth="1"/>
    <col min="14334" max="14334" width="11.6640625" bestFit="1" customWidth="1"/>
    <col min="14335" max="14335" width="11.88671875" customWidth="1"/>
    <col min="14336" max="14336" width="8.77734375" bestFit="1" customWidth="1"/>
    <col min="14339" max="14339" width="13.44140625" customWidth="1"/>
    <col min="14340" max="14340" width="10.77734375" customWidth="1"/>
    <col min="14585" max="14585" width="23.88671875" bestFit="1" customWidth="1"/>
    <col min="14586" max="14586" width="18.109375" customWidth="1"/>
    <col min="14587" max="14587" width="15.109375" bestFit="1" customWidth="1"/>
    <col min="14588" max="14588" width="16.77734375" bestFit="1" customWidth="1"/>
    <col min="14589" max="14589" width="13" bestFit="1" customWidth="1"/>
    <col min="14590" max="14590" width="11.6640625" bestFit="1" customWidth="1"/>
    <col min="14591" max="14591" width="11.88671875" customWidth="1"/>
    <col min="14592" max="14592" width="8.77734375" bestFit="1" customWidth="1"/>
    <col min="14595" max="14595" width="13.44140625" customWidth="1"/>
    <col min="14596" max="14596" width="10.77734375" customWidth="1"/>
    <col min="14841" max="14841" width="23.88671875" bestFit="1" customWidth="1"/>
    <col min="14842" max="14842" width="18.109375" customWidth="1"/>
    <col min="14843" max="14843" width="15.109375" bestFit="1" customWidth="1"/>
    <col min="14844" max="14844" width="16.77734375" bestFit="1" customWidth="1"/>
    <col min="14845" max="14845" width="13" bestFit="1" customWidth="1"/>
    <col min="14846" max="14846" width="11.6640625" bestFit="1" customWidth="1"/>
    <col min="14847" max="14847" width="11.88671875" customWidth="1"/>
    <col min="14848" max="14848" width="8.77734375" bestFit="1" customWidth="1"/>
    <col min="14851" max="14851" width="13.44140625" customWidth="1"/>
    <col min="14852" max="14852" width="10.77734375" customWidth="1"/>
    <col min="15097" max="15097" width="23.88671875" bestFit="1" customWidth="1"/>
    <col min="15098" max="15098" width="18.109375" customWidth="1"/>
    <col min="15099" max="15099" width="15.109375" bestFit="1" customWidth="1"/>
    <col min="15100" max="15100" width="16.77734375" bestFit="1" customWidth="1"/>
    <col min="15101" max="15101" width="13" bestFit="1" customWidth="1"/>
    <col min="15102" max="15102" width="11.6640625" bestFit="1" customWidth="1"/>
    <col min="15103" max="15103" width="11.88671875" customWidth="1"/>
    <col min="15104" max="15104" width="8.77734375" bestFit="1" customWidth="1"/>
    <col min="15107" max="15107" width="13.44140625" customWidth="1"/>
    <col min="15108" max="15108" width="10.77734375" customWidth="1"/>
    <col min="15353" max="15353" width="23.88671875" bestFit="1" customWidth="1"/>
    <col min="15354" max="15354" width="18.109375" customWidth="1"/>
    <col min="15355" max="15355" width="15.109375" bestFit="1" customWidth="1"/>
    <col min="15356" max="15356" width="16.77734375" bestFit="1" customWidth="1"/>
    <col min="15357" max="15357" width="13" bestFit="1" customWidth="1"/>
    <col min="15358" max="15358" width="11.6640625" bestFit="1" customWidth="1"/>
    <col min="15359" max="15359" width="11.88671875" customWidth="1"/>
    <col min="15360" max="15360" width="8.77734375" bestFit="1" customWidth="1"/>
    <col min="15363" max="15363" width="13.44140625" customWidth="1"/>
    <col min="15364" max="15364" width="10.77734375" customWidth="1"/>
    <col min="15609" max="15609" width="23.88671875" bestFit="1" customWidth="1"/>
    <col min="15610" max="15610" width="18.109375" customWidth="1"/>
    <col min="15611" max="15611" width="15.109375" bestFit="1" customWidth="1"/>
    <col min="15612" max="15612" width="16.77734375" bestFit="1" customWidth="1"/>
    <col min="15613" max="15613" width="13" bestFit="1" customWidth="1"/>
    <col min="15614" max="15614" width="11.6640625" bestFit="1" customWidth="1"/>
    <col min="15615" max="15615" width="11.88671875" customWidth="1"/>
    <col min="15616" max="15616" width="8.77734375" bestFit="1" customWidth="1"/>
    <col min="15619" max="15619" width="13.44140625" customWidth="1"/>
    <col min="15620" max="15620" width="10.77734375" customWidth="1"/>
    <col min="15865" max="15865" width="23.88671875" bestFit="1" customWidth="1"/>
    <col min="15866" max="15866" width="18.109375" customWidth="1"/>
    <col min="15867" max="15867" width="15.109375" bestFit="1" customWidth="1"/>
    <col min="15868" max="15868" width="16.77734375" bestFit="1" customWidth="1"/>
    <col min="15869" max="15869" width="13" bestFit="1" customWidth="1"/>
    <col min="15870" max="15870" width="11.6640625" bestFit="1" customWidth="1"/>
    <col min="15871" max="15871" width="11.88671875" customWidth="1"/>
    <col min="15872" max="15872" width="8.77734375" bestFit="1" customWidth="1"/>
    <col min="15875" max="15875" width="13.44140625" customWidth="1"/>
    <col min="15876" max="15876" width="10.77734375" customWidth="1"/>
    <col min="16121" max="16121" width="23.88671875" bestFit="1" customWidth="1"/>
    <col min="16122" max="16122" width="18.109375" customWidth="1"/>
    <col min="16123" max="16123" width="15.109375" bestFit="1" customWidth="1"/>
    <col min="16124" max="16124" width="16.77734375" bestFit="1" customWidth="1"/>
    <col min="16125" max="16125" width="13" bestFit="1" customWidth="1"/>
    <col min="16126" max="16126" width="11.6640625" bestFit="1" customWidth="1"/>
    <col min="16127" max="16127" width="11.88671875" customWidth="1"/>
    <col min="16128" max="16128" width="8.77734375" bestFit="1" customWidth="1"/>
    <col min="16131" max="16131" width="13.44140625" customWidth="1"/>
    <col min="16132" max="16132" width="10.77734375" customWidth="1"/>
  </cols>
  <sheetData>
    <row r="1" spans="1:7" x14ac:dyDescent="0.25">
      <c r="A1" s="184" t="s">
        <v>71</v>
      </c>
      <c r="B1" s="185"/>
      <c r="C1" s="185"/>
      <c r="D1" s="185"/>
      <c r="E1" s="185"/>
      <c r="F1" s="185"/>
      <c r="G1" s="186"/>
    </row>
    <row r="2" spans="1:7" x14ac:dyDescent="0.25">
      <c r="A2" s="1"/>
      <c r="C2" s="2"/>
      <c r="D2" s="2"/>
      <c r="E2" s="3"/>
      <c r="F2" s="3"/>
      <c r="G2" s="4"/>
    </row>
    <row r="3" spans="1:7" x14ac:dyDescent="0.25">
      <c r="A3" s="1"/>
      <c r="B3" s="5" t="s">
        <v>0</v>
      </c>
      <c r="C3" s="6">
        <f>'Paris Feb Paid 2023'!C3</f>
        <v>1187536.9099999999</v>
      </c>
      <c r="D3" s="7" t="s">
        <v>1</v>
      </c>
      <c r="E3" s="3"/>
      <c r="F3" s="3"/>
      <c r="G3" s="8"/>
    </row>
    <row r="4" spans="1:7" x14ac:dyDescent="0.25">
      <c r="A4" s="1"/>
      <c r="B4" s="9" t="s">
        <v>2</v>
      </c>
      <c r="C4" s="10">
        <f>'Paris Feb Paid 2023'!C4</f>
        <v>-30.16</v>
      </c>
      <c r="D4" s="11">
        <f>C6</f>
        <v>-890630.0625</v>
      </c>
      <c r="E4" s="12" t="s">
        <v>3</v>
      </c>
      <c r="F4" s="3"/>
      <c r="G4" s="13"/>
    </row>
    <row r="5" spans="1:7" x14ac:dyDescent="0.25">
      <c r="A5" s="14"/>
      <c r="B5" s="5" t="s">
        <v>4</v>
      </c>
      <c r="C5" s="6">
        <f>C3+C4</f>
        <v>1187506.75</v>
      </c>
      <c r="D5" s="15">
        <f>'Paris Feb Paid 2023'!D5</f>
        <v>-0.05</v>
      </c>
      <c r="E5" s="12" t="s">
        <v>5</v>
      </c>
      <c r="F5" s="3"/>
      <c r="G5" s="8"/>
    </row>
    <row r="6" spans="1:7" x14ac:dyDescent="0.25">
      <c r="A6" s="14"/>
      <c r="B6" s="16" t="s">
        <v>6</v>
      </c>
      <c r="C6" s="17">
        <f>-1*(0.75*C5)</f>
        <v>-890630.0625</v>
      </c>
      <c r="D6" s="18">
        <f>D4+D5</f>
        <v>-890630.11250000005</v>
      </c>
      <c r="E6" s="19" t="s">
        <v>7</v>
      </c>
      <c r="F6" s="3"/>
      <c r="G6" s="8"/>
    </row>
    <row r="7" spans="1:7" x14ac:dyDescent="0.25">
      <c r="A7" s="1"/>
      <c r="B7" s="20" t="s">
        <v>8</v>
      </c>
      <c r="C7" s="21">
        <f>'Paris Feb Paid 2023'!C7</f>
        <v>-0.05</v>
      </c>
      <c r="D7" s="15">
        <f>'Paris Feb Paid 2023'!D7</f>
        <v>-0.01</v>
      </c>
      <c r="E7" s="12" t="s">
        <v>64</v>
      </c>
      <c r="F7" s="3"/>
      <c r="G7" s="13"/>
    </row>
    <row r="8" spans="1:7" x14ac:dyDescent="0.25">
      <c r="A8" s="1"/>
      <c r="B8" s="20" t="s">
        <v>9</v>
      </c>
      <c r="C8" s="123">
        <v>0</v>
      </c>
      <c r="D8" s="22">
        <f>D6+D7</f>
        <v>-890630.12250000006</v>
      </c>
      <c r="E8" s="19" t="s">
        <v>10</v>
      </c>
      <c r="F8" s="3"/>
      <c r="G8" s="13"/>
    </row>
    <row r="9" spans="1:7" x14ac:dyDescent="0.25">
      <c r="A9" s="1"/>
      <c r="B9" s="124" t="s">
        <v>11</v>
      </c>
      <c r="C9" s="24">
        <f>SUM(C5:C8)</f>
        <v>296876.63750000001</v>
      </c>
      <c r="D9" s="11">
        <f>D8*-1</f>
        <v>890630.12250000006</v>
      </c>
      <c r="E9" s="12" t="s">
        <v>10</v>
      </c>
      <c r="F9" s="3"/>
      <c r="G9" s="4"/>
    </row>
    <row r="10" spans="1:7" ht="26.25" x14ac:dyDescent="0.25">
      <c r="A10" s="1">
        <f>'Paris Feb Paid 2023'!A10</f>
        <v>0.41659369565943721</v>
      </c>
      <c r="B10" s="25" t="s">
        <v>12</v>
      </c>
      <c r="C10" s="26">
        <f>A10*1</f>
        <v>0.41659369565943721</v>
      </c>
      <c r="D10" s="27">
        <f>C14</f>
        <v>70901.64</v>
      </c>
      <c r="E10" s="28" t="s">
        <v>13</v>
      </c>
      <c r="F10" s="28"/>
      <c r="G10" s="4"/>
    </row>
    <row r="11" spans="1:7" ht="27" x14ac:dyDescent="0.3">
      <c r="A11" s="113">
        <f>'Paris Feb Paid 2023'!A11</f>
        <v>0.65541899856936592</v>
      </c>
      <c r="B11" s="114" t="s">
        <v>14</v>
      </c>
      <c r="C11" s="115">
        <f>A11*1</f>
        <v>0.65541899856936592</v>
      </c>
      <c r="D11" s="180">
        <f>D9+D10</f>
        <v>961531.76250000007</v>
      </c>
      <c r="E11" s="181" t="s">
        <v>15</v>
      </c>
      <c r="F11" s="31"/>
      <c r="G11" s="32"/>
    </row>
    <row r="12" spans="1:7" x14ac:dyDescent="0.25">
      <c r="A12" s="1"/>
      <c r="B12" s="33"/>
      <c r="C12" s="3"/>
      <c r="D12" s="34" t="s">
        <v>16</v>
      </c>
      <c r="E12" s="35"/>
      <c r="F12" s="36"/>
      <c r="G12" s="4"/>
    </row>
    <row r="13" spans="1:7" x14ac:dyDescent="0.25">
      <c r="A13" s="118"/>
      <c r="B13" s="119" t="s">
        <v>17</v>
      </c>
      <c r="C13" s="120">
        <f>(C5+C6+C7)*C10</f>
        <v>123676.93557107207</v>
      </c>
      <c r="D13" s="11">
        <f>C5</f>
        <v>1187506.75</v>
      </c>
      <c r="E13" s="12" t="s">
        <v>4</v>
      </c>
      <c r="F13" s="4"/>
      <c r="G13" s="4"/>
    </row>
    <row r="14" spans="1:7" x14ac:dyDescent="0.25">
      <c r="A14" s="1"/>
      <c r="B14" s="23" t="s">
        <v>18</v>
      </c>
      <c r="C14" s="121">
        <f>'Paris Feb Paid 2023'!C14</f>
        <v>70901.64</v>
      </c>
      <c r="D14" s="15">
        <f>-C13</f>
        <v>-123676.93557107207</v>
      </c>
      <c r="E14" s="37" t="s">
        <v>19</v>
      </c>
      <c r="F14" s="4"/>
      <c r="G14" s="4"/>
    </row>
    <row r="15" spans="1:7" x14ac:dyDescent="0.25">
      <c r="A15" s="1"/>
      <c r="B15" s="33" t="s">
        <v>20</v>
      </c>
      <c r="C15" s="21"/>
      <c r="D15" s="18">
        <f>SUM(D12:D14)</f>
        <v>1063829.8144289278</v>
      </c>
      <c r="E15" s="38" t="s">
        <v>21</v>
      </c>
      <c r="F15" s="39"/>
      <c r="G15" s="4"/>
    </row>
    <row r="16" spans="1:7" x14ac:dyDescent="0.25">
      <c r="A16" s="1"/>
      <c r="B16" s="33"/>
      <c r="C16" s="21"/>
      <c r="D16" s="11">
        <f>D8</f>
        <v>-890630.12250000006</v>
      </c>
      <c r="E16" s="12" t="s">
        <v>10</v>
      </c>
      <c r="F16" s="4"/>
      <c r="G16" s="4"/>
    </row>
    <row r="17" spans="1:7" x14ac:dyDescent="0.25">
      <c r="A17" s="1"/>
      <c r="B17" s="23" t="s">
        <v>22</v>
      </c>
      <c r="C17" s="40">
        <f>C9-SUM(C13:C16)</f>
        <v>102298.06192892796</v>
      </c>
      <c r="D17" s="11">
        <f>-D10</f>
        <v>-70901.64</v>
      </c>
      <c r="E17" s="12" t="s">
        <v>23</v>
      </c>
      <c r="F17" s="4"/>
      <c r="G17" s="4"/>
    </row>
    <row r="18" spans="1:7" x14ac:dyDescent="0.25">
      <c r="A18" s="41"/>
      <c r="B18" s="38"/>
      <c r="C18" s="3"/>
      <c r="D18" s="15">
        <f>-D7</f>
        <v>0.01</v>
      </c>
      <c r="E18" s="12" t="s">
        <v>56</v>
      </c>
      <c r="F18" s="4"/>
      <c r="G18" s="4"/>
    </row>
    <row r="19" spans="1:7" x14ac:dyDescent="0.25">
      <c r="A19" s="41"/>
      <c r="B19" s="38"/>
      <c r="C19" s="3"/>
      <c r="D19" s="15">
        <v>-29161.14</v>
      </c>
      <c r="E19" s="12" t="s">
        <v>63</v>
      </c>
      <c r="F19" s="4"/>
      <c r="G19" s="4"/>
    </row>
    <row r="20" spans="1:7" x14ac:dyDescent="0.25">
      <c r="A20" s="182" t="s">
        <v>65</v>
      </c>
      <c r="B20" s="43"/>
      <c r="C20" s="44"/>
      <c r="D20" s="42">
        <f>SUM(D15:D19)</f>
        <v>73136.921928927783</v>
      </c>
      <c r="E20" s="28" t="s">
        <v>61</v>
      </c>
      <c r="F20" s="177"/>
      <c r="G20" s="4"/>
    </row>
    <row r="21" spans="1:7" x14ac:dyDescent="0.25">
      <c r="A21" s="1"/>
      <c r="B21" s="12"/>
      <c r="C21" s="45"/>
      <c r="D21" s="15"/>
      <c r="E21" s="46"/>
      <c r="F21" s="47"/>
      <c r="G21" s="4"/>
    </row>
    <row r="22" spans="1:7" x14ac:dyDescent="0.25">
      <c r="A22" s="48"/>
      <c r="B22" s="49"/>
      <c r="C22" s="50"/>
      <c r="D22" s="51"/>
      <c r="E22" s="52"/>
      <c r="F22" s="53"/>
      <c r="G22" s="54"/>
    </row>
    <row r="23" spans="1:7" x14ac:dyDescent="0.25">
      <c r="D23" s="55"/>
      <c r="E23" s="56"/>
      <c r="F23" s="57"/>
    </row>
    <row r="24" spans="1:7" x14ac:dyDescent="0.25">
      <c r="A24" s="58" t="s">
        <v>60</v>
      </c>
      <c r="B24" s="59"/>
      <c r="C24" s="60"/>
      <c r="D24" s="61" t="s">
        <v>25</v>
      </c>
      <c r="E24" s="62" t="s">
        <v>26</v>
      </c>
      <c r="F24" s="63" t="s">
        <v>27</v>
      </c>
      <c r="G24" s="64"/>
    </row>
    <row r="25" spans="1:7" x14ac:dyDescent="0.25">
      <c r="A25" s="14"/>
      <c r="B25" s="65" t="s">
        <v>28</v>
      </c>
      <c r="C25" s="66" t="s">
        <v>29</v>
      </c>
      <c r="D25" s="67" t="s">
        <v>30</v>
      </c>
      <c r="E25" s="68" t="s">
        <v>31</v>
      </c>
      <c r="F25" s="69" t="s">
        <v>31</v>
      </c>
      <c r="G25" s="70" t="s">
        <v>32</v>
      </c>
    </row>
    <row r="26" spans="1:7" x14ac:dyDescent="0.25">
      <c r="A26" s="71" t="s">
        <v>33</v>
      </c>
      <c r="B26" s="72">
        <v>0</v>
      </c>
      <c r="C26" s="73">
        <v>0</v>
      </c>
      <c r="D26" s="74">
        <v>0</v>
      </c>
      <c r="E26" s="75">
        <v>0</v>
      </c>
      <c r="F26" s="75">
        <v>0</v>
      </c>
      <c r="G26" s="76">
        <f>B26-SUM(C26:F26)</f>
        <v>0</v>
      </c>
    </row>
    <row r="27" spans="1:7" x14ac:dyDescent="0.25">
      <c r="A27" s="77" t="s">
        <v>34</v>
      </c>
      <c r="B27" s="78">
        <f>'Paris Feb Paid 2023'!B26</f>
        <v>-30.16</v>
      </c>
      <c r="C27" s="79"/>
      <c r="D27" s="80"/>
      <c r="E27" s="81"/>
      <c r="F27" s="81"/>
      <c r="G27" s="82"/>
    </row>
    <row r="28" spans="1:7" x14ac:dyDescent="0.25">
      <c r="A28" s="83" t="s">
        <v>35</v>
      </c>
      <c r="B28" s="78">
        <f>'Paris Feb Paid 2023'!B27</f>
        <v>1187536.9099999999</v>
      </c>
      <c r="C28" s="84"/>
      <c r="D28" s="85"/>
      <c r="E28" s="75"/>
      <c r="F28" s="75"/>
      <c r="G28" s="86"/>
    </row>
    <row r="29" spans="1:7" x14ac:dyDescent="0.25">
      <c r="A29" s="71" t="s">
        <v>36</v>
      </c>
      <c r="B29" s="87">
        <f>B27+B28</f>
        <v>1187506.75</v>
      </c>
      <c r="C29" s="73">
        <f>(B29+B30+B31)*C46</f>
        <v>123676.93571122152</v>
      </c>
      <c r="D29" s="88">
        <f>ROUNDUP(((B29+B30+B31)*D46)-C29-B30-B31-B32,2)</f>
        <v>961531.78</v>
      </c>
      <c r="E29" s="75">
        <v>29161.14</v>
      </c>
      <c r="F29" s="75">
        <f>613079.05+-535019.3</f>
        <v>78059.75</v>
      </c>
      <c r="G29" s="75">
        <f>B29-SUM(C29:F29)-B32</f>
        <v>-4922.8457112214619</v>
      </c>
    </row>
    <row r="30" spans="1:7" x14ac:dyDescent="0.25">
      <c r="A30" s="116" t="s">
        <v>45</v>
      </c>
      <c r="B30" s="89">
        <f>C6</f>
        <v>-890630.0625</v>
      </c>
      <c r="C30" s="90"/>
      <c r="D30" s="91"/>
      <c r="E30" s="4"/>
      <c r="F30" s="4"/>
      <c r="G30" s="92">
        <v>0</v>
      </c>
    </row>
    <row r="31" spans="1:7" x14ac:dyDescent="0.25">
      <c r="A31" s="116" t="s">
        <v>46</v>
      </c>
      <c r="B31" s="89">
        <f>C7</f>
        <v>-0.05</v>
      </c>
      <c r="C31" s="90"/>
      <c r="D31" s="91"/>
      <c r="E31" s="4"/>
      <c r="F31" s="4"/>
      <c r="G31" s="92"/>
    </row>
    <row r="32" spans="1:7" x14ac:dyDescent="0.25">
      <c r="A32" s="93" t="s">
        <v>47</v>
      </c>
      <c r="B32" s="94">
        <f>D7</f>
        <v>-0.01</v>
      </c>
      <c r="C32" s="84"/>
      <c r="D32" s="85"/>
      <c r="E32" s="75"/>
      <c r="F32" s="75"/>
      <c r="G32" s="86"/>
    </row>
    <row r="33" spans="1:9" x14ac:dyDescent="0.25">
      <c r="A33" s="95" t="s">
        <v>62</v>
      </c>
      <c r="B33" s="96">
        <f>B30+B31+B32</f>
        <v>-890630.12250000006</v>
      </c>
      <c r="C33" s="97"/>
      <c r="D33" s="98">
        <f>'Paris Feb Paid 2023'!D32</f>
        <v>890630.12000000011</v>
      </c>
      <c r="E33" s="99">
        <v>0</v>
      </c>
      <c r="F33" s="99">
        <v>0</v>
      </c>
      <c r="G33" s="100">
        <f>B33+C33+D33+E33+F33</f>
        <v>-2.4999999441206455E-3</v>
      </c>
    </row>
    <row r="34" spans="1:9" x14ac:dyDescent="0.25">
      <c r="A34" s="77" t="s">
        <v>38</v>
      </c>
      <c r="B34" s="78">
        <f>'Paris Feb Paid 2023'!B33</f>
        <v>751048.82</v>
      </c>
      <c r="C34" s="78">
        <f>$B34*C$46</f>
        <v>312882.20389901439</v>
      </c>
      <c r="D34" s="78">
        <f>ROUNDDOWN(($B34*D$46)-C34,2)</f>
        <v>179369.46</v>
      </c>
      <c r="E34" s="8">
        <v>21977.5</v>
      </c>
      <c r="F34" s="101">
        <v>301253.43</v>
      </c>
      <c r="G34" s="102">
        <f t="shared" ref="G34:G40" si="0">B34-SUM(C34:F34)</f>
        <v>-64433.773899014457</v>
      </c>
    </row>
    <row r="35" spans="1:9" x14ac:dyDescent="0.25">
      <c r="A35" s="77" t="s">
        <v>39</v>
      </c>
      <c r="B35" s="78">
        <f>'Paris Feb Paid 2023'!B34</f>
        <v>855854.1</v>
      </c>
      <c r="C35" s="78">
        <f>B35*$C$46</f>
        <v>356543.42286831292</v>
      </c>
      <c r="D35" s="78">
        <f>ROUNDDOWN(($B35*D$46)-C35+0.01,2)</f>
        <v>204399.62</v>
      </c>
      <c r="E35" s="8">
        <v>21428.75</v>
      </c>
      <c r="F35" s="101">
        <v>293731.71000000002</v>
      </c>
      <c r="G35" s="103">
        <f>ROUND(B35-SUM(C35:F35),2)</f>
        <v>-20249.400000000001</v>
      </c>
    </row>
    <row r="36" spans="1:9" x14ac:dyDescent="0.25">
      <c r="A36" s="77" t="s">
        <v>40</v>
      </c>
      <c r="B36" s="78">
        <f>'Paris Feb Paid 2023'!B35</f>
        <v>35726.589999999997</v>
      </c>
      <c r="C36" s="78">
        <f>B36*$C$46</f>
        <v>14883.472178275291</v>
      </c>
      <c r="D36" s="78">
        <f>ROUNDUP(($B36*D$46)-C36,2)</f>
        <v>8532.42</v>
      </c>
      <c r="E36" s="8">
        <v>779.82</v>
      </c>
      <c r="F36" s="101">
        <v>10689.28</v>
      </c>
      <c r="G36" s="103">
        <f t="shared" si="0"/>
        <v>841.59782172470295</v>
      </c>
    </row>
    <row r="37" spans="1:9" x14ac:dyDescent="0.25">
      <c r="A37" s="77" t="s">
        <v>41</v>
      </c>
      <c r="B37" s="78">
        <f>'Paris Feb Paid 2023'!B36</f>
        <v>69746</v>
      </c>
      <c r="C37" s="78">
        <f>B37*$C$46</f>
        <v>29055.743930388784</v>
      </c>
      <c r="D37" s="78">
        <f>ROUNDDOWN(($B37*D$46)-C37,2)</f>
        <v>16657.099999999999</v>
      </c>
      <c r="E37" s="10">
        <v>1563.67</v>
      </c>
      <c r="F37" s="75">
        <v>21433.82</v>
      </c>
      <c r="G37" s="104">
        <f t="shared" si="0"/>
        <v>1035.6660696112085</v>
      </c>
    </row>
    <row r="38" spans="1:9" x14ac:dyDescent="0.25">
      <c r="A38" s="95" t="s">
        <v>42</v>
      </c>
      <c r="B38" s="105">
        <f>SUM(B34:B37)</f>
        <v>1712375.51</v>
      </c>
      <c r="C38" s="106">
        <f>ROUND(SUM(C34:C37),2)</f>
        <v>713364.84</v>
      </c>
      <c r="D38" s="106">
        <f>SUM(D34:D37)</f>
        <v>408958.59999999992</v>
      </c>
      <c r="E38" s="106">
        <f>SUM(E34:E37)</f>
        <v>45749.74</v>
      </c>
      <c r="F38" s="106">
        <f>SUM(F34:F37)</f>
        <v>627108.24</v>
      </c>
      <c r="G38" s="105">
        <f>ROUNDDOWN(B38-SUM(C38:F38),2)</f>
        <v>-82805.899999999994</v>
      </c>
    </row>
    <row r="39" spans="1:9" x14ac:dyDescent="0.25">
      <c r="A39" s="71" t="s">
        <v>43</v>
      </c>
      <c r="B39" s="72">
        <f>'Paris Feb Paid 2023'!B38</f>
        <v>196909.44</v>
      </c>
      <c r="C39" s="72">
        <f>B39*$C$46</f>
        <v>82031.23141278718</v>
      </c>
      <c r="D39" s="78">
        <f t="shared" ref="D39" si="1">($B39*D$46)-C39</f>
        <v>47026.956842572821</v>
      </c>
      <c r="E39" s="75">
        <v>4713.78</v>
      </c>
      <c r="F39" s="75">
        <v>64613.57</v>
      </c>
      <c r="G39" s="76">
        <f t="shared" si="0"/>
        <v>-1476.0982553600043</v>
      </c>
    </row>
    <row r="40" spans="1:9" x14ac:dyDescent="0.25">
      <c r="A40" s="71" t="s">
        <v>44</v>
      </c>
      <c r="B40" s="107">
        <f>B26+B29+B30+B31+B38+B39</f>
        <v>2206161.5874999999</v>
      </c>
      <c r="C40" s="107">
        <f>C26+C29+C33+C38+C39</f>
        <v>919073.00712400873</v>
      </c>
      <c r="D40" s="98">
        <f>D26+D29-D33+D38+D39</f>
        <v>526887.21684257267</v>
      </c>
      <c r="E40" s="108">
        <f>E26+E29+E33+E38+E39</f>
        <v>79624.66</v>
      </c>
      <c r="F40" s="108">
        <f>F26+F29+F33+F38+F39</f>
        <v>769781.55999999994</v>
      </c>
      <c r="G40" s="105">
        <f t="shared" si="0"/>
        <v>-89204.856466581114</v>
      </c>
      <c r="I40" s="110"/>
    </row>
    <row r="41" spans="1:9" x14ac:dyDescent="0.25">
      <c r="E41" s="109"/>
      <c r="G41" s="110"/>
    </row>
    <row r="42" spans="1:9" x14ac:dyDescent="0.25">
      <c r="A42" s="5" t="s">
        <v>48</v>
      </c>
      <c r="C42" s="38">
        <f>'Paris Feb Paid 2023'!C41</f>
        <v>919875.75</v>
      </c>
      <c r="D42" s="38">
        <f>'Paris Feb Paid 2023'!D41</f>
        <v>1446509.28</v>
      </c>
      <c r="E42" s="110"/>
      <c r="F42" s="38">
        <v>1986270.37</v>
      </c>
    </row>
    <row r="43" spans="1:9" x14ac:dyDescent="0.25">
      <c r="A43" s="122" t="s">
        <v>50</v>
      </c>
      <c r="C43" s="38">
        <f>'Paris Feb Paid 2023'!C42</f>
        <v>-802.74</v>
      </c>
      <c r="D43" s="38">
        <f>'Paris Feb Paid 2023'!D42</f>
        <v>-1108.74</v>
      </c>
      <c r="E43" s="125" t="s">
        <v>57</v>
      </c>
      <c r="F43" s="38">
        <f>339433.68+3257.87+32149.81+79624.66</f>
        <v>454466.02</v>
      </c>
    </row>
    <row r="44" spans="1:9" x14ac:dyDescent="0.25">
      <c r="A44" s="5" t="s">
        <v>55</v>
      </c>
      <c r="C44" s="38">
        <f>'Paris Feb Paid 2023'!C43</f>
        <v>0</v>
      </c>
      <c r="D44" s="38">
        <f>'Paris Feb Paid 2023'!D43</f>
        <v>559.67999999999995</v>
      </c>
      <c r="E44" s="111"/>
      <c r="F44" s="38">
        <v>626.12</v>
      </c>
    </row>
    <row r="45" spans="1:9" x14ac:dyDescent="0.25">
      <c r="A45" s="5" t="s">
        <v>49</v>
      </c>
      <c r="C45" s="38">
        <f>C42+C43+C44</f>
        <v>919073.01</v>
      </c>
      <c r="D45" s="38">
        <f>D42+D43+D44</f>
        <v>1445960.22</v>
      </c>
      <c r="E45" s="111" t="s">
        <v>58</v>
      </c>
      <c r="F45" s="38">
        <f>SUM(F42:F44)</f>
        <v>2441362.5100000002</v>
      </c>
    </row>
    <row r="46" spans="1:9" x14ac:dyDescent="0.25">
      <c r="C46" s="117">
        <f>C45/$B$40</f>
        <v>0.41659369613151698</v>
      </c>
      <c r="D46" s="117">
        <f>ROUNDUP(D45/$B$40,9)</f>
        <v>0.65541899999999997</v>
      </c>
      <c r="E46" s="110"/>
      <c r="F46" s="117">
        <f>ROUNDDOWN(F45/$B$40,9)</f>
        <v>1.106610922</v>
      </c>
    </row>
    <row r="47" spans="1:9" x14ac:dyDescent="0.25">
      <c r="C47" s="57"/>
      <c r="D47" s="57"/>
      <c r="E47" s="110"/>
    </row>
    <row r="48" spans="1:9" x14ac:dyDescent="0.25">
      <c r="C48" s="57"/>
      <c r="D48" s="57"/>
      <c r="E48" s="110"/>
    </row>
    <row r="49" spans="3:5" x14ac:dyDescent="0.25">
      <c r="C49" s="57"/>
      <c r="D49" s="57"/>
      <c r="E49" s="110"/>
    </row>
    <row r="50" spans="3:5" x14ac:dyDescent="0.25">
      <c r="C50" s="57"/>
      <c r="D50" s="57"/>
      <c r="E50" s="110"/>
    </row>
    <row r="51" spans="3:5" x14ac:dyDescent="0.25">
      <c r="C51" s="55"/>
      <c r="D51" s="55"/>
      <c r="E51" s="55"/>
    </row>
    <row r="52" spans="3:5" x14ac:dyDescent="0.25">
      <c r="C52" s="56"/>
      <c r="D52" s="56"/>
      <c r="E52" s="56"/>
    </row>
  </sheetData>
  <mergeCells count="1">
    <mergeCell ref="A1:G1"/>
  </mergeCells>
  <printOptions horizontalCentered="1"/>
  <pageMargins left="0" right="0" top="0" bottom="0" header="0" footer="0"/>
  <pageSetup scale="84" fitToWidth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9226-28F9-49DB-8867-E9BB0E351169}">
  <sheetPr transitionEvaluation="1">
    <tabColor theme="0" tint="-0.499984740745262"/>
    <pageSetUpPr fitToPage="1"/>
  </sheetPr>
  <dimension ref="A1:G51"/>
  <sheetViews>
    <sheetView topLeftCell="A25" workbookViewId="0">
      <selection activeCell="F42" sqref="F42"/>
    </sheetView>
  </sheetViews>
  <sheetFormatPr defaultRowHeight="15.75" x14ac:dyDescent="0.25"/>
  <cols>
    <col min="1" max="1" width="27" customWidth="1"/>
    <col min="2" max="2" width="16.44140625" customWidth="1"/>
    <col min="3" max="3" width="15.109375" bestFit="1" customWidth="1"/>
    <col min="4" max="4" width="16.77734375" bestFit="1" customWidth="1"/>
    <col min="5" max="5" width="13" bestFit="1" customWidth="1"/>
    <col min="6" max="6" width="11.6640625" bestFit="1" customWidth="1"/>
    <col min="7" max="7" width="11.88671875" customWidth="1"/>
    <col min="249" max="249" width="23.88671875" bestFit="1" customWidth="1"/>
    <col min="250" max="250" width="18.109375" customWidth="1"/>
    <col min="251" max="251" width="15.109375" bestFit="1" customWidth="1"/>
    <col min="252" max="252" width="16.77734375" bestFit="1" customWidth="1"/>
    <col min="253" max="253" width="13" bestFit="1" customWidth="1"/>
    <col min="254" max="254" width="11.6640625" bestFit="1" customWidth="1"/>
    <col min="255" max="255" width="11.88671875" customWidth="1"/>
    <col min="256" max="256" width="8.77734375" bestFit="1" customWidth="1"/>
    <col min="259" max="259" width="13.44140625" customWidth="1"/>
    <col min="260" max="260" width="10.77734375" customWidth="1"/>
    <col min="505" max="505" width="23.88671875" bestFit="1" customWidth="1"/>
    <col min="506" max="506" width="18.109375" customWidth="1"/>
    <col min="507" max="507" width="15.109375" bestFit="1" customWidth="1"/>
    <col min="508" max="508" width="16.77734375" bestFit="1" customWidth="1"/>
    <col min="509" max="509" width="13" bestFit="1" customWidth="1"/>
    <col min="510" max="510" width="11.6640625" bestFit="1" customWidth="1"/>
    <col min="511" max="511" width="11.88671875" customWidth="1"/>
    <col min="512" max="512" width="8.77734375" bestFit="1" customWidth="1"/>
    <col min="515" max="515" width="13.44140625" customWidth="1"/>
    <col min="516" max="516" width="10.77734375" customWidth="1"/>
    <col min="761" max="761" width="23.88671875" bestFit="1" customWidth="1"/>
    <col min="762" max="762" width="18.109375" customWidth="1"/>
    <col min="763" max="763" width="15.109375" bestFit="1" customWidth="1"/>
    <col min="764" max="764" width="16.77734375" bestFit="1" customWidth="1"/>
    <col min="765" max="765" width="13" bestFit="1" customWidth="1"/>
    <col min="766" max="766" width="11.6640625" bestFit="1" customWidth="1"/>
    <col min="767" max="767" width="11.88671875" customWidth="1"/>
    <col min="768" max="768" width="8.77734375" bestFit="1" customWidth="1"/>
    <col min="771" max="771" width="13.44140625" customWidth="1"/>
    <col min="772" max="772" width="10.77734375" customWidth="1"/>
    <col min="1017" max="1017" width="23.88671875" bestFit="1" customWidth="1"/>
    <col min="1018" max="1018" width="18.109375" customWidth="1"/>
    <col min="1019" max="1019" width="15.109375" bestFit="1" customWidth="1"/>
    <col min="1020" max="1020" width="16.77734375" bestFit="1" customWidth="1"/>
    <col min="1021" max="1021" width="13" bestFit="1" customWidth="1"/>
    <col min="1022" max="1022" width="11.6640625" bestFit="1" customWidth="1"/>
    <col min="1023" max="1023" width="11.88671875" customWidth="1"/>
    <col min="1024" max="1024" width="8.77734375" bestFit="1" customWidth="1"/>
    <col min="1027" max="1027" width="13.44140625" customWidth="1"/>
    <col min="1028" max="1028" width="10.77734375" customWidth="1"/>
    <col min="1273" max="1273" width="23.88671875" bestFit="1" customWidth="1"/>
    <col min="1274" max="1274" width="18.109375" customWidth="1"/>
    <col min="1275" max="1275" width="15.109375" bestFit="1" customWidth="1"/>
    <col min="1276" max="1276" width="16.77734375" bestFit="1" customWidth="1"/>
    <col min="1277" max="1277" width="13" bestFit="1" customWidth="1"/>
    <col min="1278" max="1278" width="11.6640625" bestFit="1" customWidth="1"/>
    <col min="1279" max="1279" width="11.88671875" customWidth="1"/>
    <col min="1280" max="1280" width="8.77734375" bestFit="1" customWidth="1"/>
    <col min="1283" max="1283" width="13.44140625" customWidth="1"/>
    <col min="1284" max="1284" width="10.77734375" customWidth="1"/>
    <col min="1529" max="1529" width="23.88671875" bestFit="1" customWidth="1"/>
    <col min="1530" max="1530" width="18.109375" customWidth="1"/>
    <col min="1531" max="1531" width="15.109375" bestFit="1" customWidth="1"/>
    <col min="1532" max="1532" width="16.77734375" bestFit="1" customWidth="1"/>
    <col min="1533" max="1533" width="13" bestFit="1" customWidth="1"/>
    <col min="1534" max="1534" width="11.6640625" bestFit="1" customWidth="1"/>
    <col min="1535" max="1535" width="11.88671875" customWidth="1"/>
    <col min="1536" max="1536" width="8.77734375" bestFit="1" customWidth="1"/>
    <col min="1539" max="1539" width="13.44140625" customWidth="1"/>
    <col min="1540" max="1540" width="10.77734375" customWidth="1"/>
    <col min="1785" max="1785" width="23.88671875" bestFit="1" customWidth="1"/>
    <col min="1786" max="1786" width="18.109375" customWidth="1"/>
    <col min="1787" max="1787" width="15.109375" bestFit="1" customWidth="1"/>
    <col min="1788" max="1788" width="16.77734375" bestFit="1" customWidth="1"/>
    <col min="1789" max="1789" width="13" bestFit="1" customWidth="1"/>
    <col min="1790" max="1790" width="11.6640625" bestFit="1" customWidth="1"/>
    <col min="1791" max="1791" width="11.88671875" customWidth="1"/>
    <col min="1792" max="1792" width="8.77734375" bestFit="1" customWidth="1"/>
    <col min="1795" max="1795" width="13.44140625" customWidth="1"/>
    <col min="1796" max="1796" width="10.77734375" customWidth="1"/>
    <col min="2041" max="2041" width="23.88671875" bestFit="1" customWidth="1"/>
    <col min="2042" max="2042" width="18.109375" customWidth="1"/>
    <col min="2043" max="2043" width="15.109375" bestFit="1" customWidth="1"/>
    <col min="2044" max="2044" width="16.77734375" bestFit="1" customWidth="1"/>
    <col min="2045" max="2045" width="13" bestFit="1" customWidth="1"/>
    <col min="2046" max="2046" width="11.6640625" bestFit="1" customWidth="1"/>
    <col min="2047" max="2047" width="11.88671875" customWidth="1"/>
    <col min="2048" max="2048" width="8.77734375" bestFit="1" customWidth="1"/>
    <col min="2051" max="2051" width="13.44140625" customWidth="1"/>
    <col min="2052" max="2052" width="10.77734375" customWidth="1"/>
    <col min="2297" max="2297" width="23.88671875" bestFit="1" customWidth="1"/>
    <col min="2298" max="2298" width="18.109375" customWidth="1"/>
    <col min="2299" max="2299" width="15.109375" bestFit="1" customWidth="1"/>
    <col min="2300" max="2300" width="16.77734375" bestFit="1" customWidth="1"/>
    <col min="2301" max="2301" width="13" bestFit="1" customWidth="1"/>
    <col min="2302" max="2302" width="11.6640625" bestFit="1" customWidth="1"/>
    <col min="2303" max="2303" width="11.88671875" customWidth="1"/>
    <col min="2304" max="2304" width="8.77734375" bestFit="1" customWidth="1"/>
    <col min="2307" max="2307" width="13.44140625" customWidth="1"/>
    <col min="2308" max="2308" width="10.77734375" customWidth="1"/>
    <col min="2553" max="2553" width="23.88671875" bestFit="1" customWidth="1"/>
    <col min="2554" max="2554" width="18.109375" customWidth="1"/>
    <col min="2555" max="2555" width="15.109375" bestFit="1" customWidth="1"/>
    <col min="2556" max="2556" width="16.77734375" bestFit="1" customWidth="1"/>
    <col min="2557" max="2557" width="13" bestFit="1" customWidth="1"/>
    <col min="2558" max="2558" width="11.6640625" bestFit="1" customWidth="1"/>
    <col min="2559" max="2559" width="11.88671875" customWidth="1"/>
    <col min="2560" max="2560" width="8.77734375" bestFit="1" customWidth="1"/>
    <col min="2563" max="2563" width="13.44140625" customWidth="1"/>
    <col min="2564" max="2564" width="10.77734375" customWidth="1"/>
    <col min="2809" max="2809" width="23.88671875" bestFit="1" customWidth="1"/>
    <col min="2810" max="2810" width="18.109375" customWidth="1"/>
    <col min="2811" max="2811" width="15.109375" bestFit="1" customWidth="1"/>
    <col min="2812" max="2812" width="16.77734375" bestFit="1" customWidth="1"/>
    <col min="2813" max="2813" width="13" bestFit="1" customWidth="1"/>
    <col min="2814" max="2814" width="11.6640625" bestFit="1" customWidth="1"/>
    <col min="2815" max="2815" width="11.88671875" customWidth="1"/>
    <col min="2816" max="2816" width="8.77734375" bestFit="1" customWidth="1"/>
    <col min="2819" max="2819" width="13.44140625" customWidth="1"/>
    <col min="2820" max="2820" width="10.77734375" customWidth="1"/>
    <col min="3065" max="3065" width="23.88671875" bestFit="1" customWidth="1"/>
    <col min="3066" max="3066" width="18.109375" customWidth="1"/>
    <col min="3067" max="3067" width="15.109375" bestFit="1" customWidth="1"/>
    <col min="3068" max="3068" width="16.77734375" bestFit="1" customWidth="1"/>
    <col min="3069" max="3069" width="13" bestFit="1" customWidth="1"/>
    <col min="3070" max="3070" width="11.6640625" bestFit="1" customWidth="1"/>
    <col min="3071" max="3071" width="11.88671875" customWidth="1"/>
    <col min="3072" max="3072" width="8.77734375" bestFit="1" customWidth="1"/>
    <col min="3075" max="3075" width="13.44140625" customWidth="1"/>
    <col min="3076" max="3076" width="10.77734375" customWidth="1"/>
    <col min="3321" max="3321" width="23.88671875" bestFit="1" customWidth="1"/>
    <col min="3322" max="3322" width="18.109375" customWidth="1"/>
    <col min="3323" max="3323" width="15.109375" bestFit="1" customWidth="1"/>
    <col min="3324" max="3324" width="16.77734375" bestFit="1" customWidth="1"/>
    <col min="3325" max="3325" width="13" bestFit="1" customWidth="1"/>
    <col min="3326" max="3326" width="11.6640625" bestFit="1" customWidth="1"/>
    <col min="3327" max="3327" width="11.88671875" customWidth="1"/>
    <col min="3328" max="3328" width="8.77734375" bestFit="1" customWidth="1"/>
    <col min="3331" max="3331" width="13.44140625" customWidth="1"/>
    <col min="3332" max="3332" width="10.77734375" customWidth="1"/>
    <col min="3577" max="3577" width="23.88671875" bestFit="1" customWidth="1"/>
    <col min="3578" max="3578" width="18.109375" customWidth="1"/>
    <col min="3579" max="3579" width="15.109375" bestFit="1" customWidth="1"/>
    <col min="3580" max="3580" width="16.77734375" bestFit="1" customWidth="1"/>
    <col min="3581" max="3581" width="13" bestFit="1" customWidth="1"/>
    <col min="3582" max="3582" width="11.6640625" bestFit="1" customWidth="1"/>
    <col min="3583" max="3583" width="11.88671875" customWidth="1"/>
    <col min="3584" max="3584" width="8.77734375" bestFit="1" customWidth="1"/>
    <col min="3587" max="3587" width="13.44140625" customWidth="1"/>
    <col min="3588" max="3588" width="10.77734375" customWidth="1"/>
    <col min="3833" max="3833" width="23.88671875" bestFit="1" customWidth="1"/>
    <col min="3834" max="3834" width="18.109375" customWidth="1"/>
    <col min="3835" max="3835" width="15.109375" bestFit="1" customWidth="1"/>
    <col min="3836" max="3836" width="16.77734375" bestFit="1" customWidth="1"/>
    <col min="3837" max="3837" width="13" bestFit="1" customWidth="1"/>
    <col min="3838" max="3838" width="11.6640625" bestFit="1" customWidth="1"/>
    <col min="3839" max="3839" width="11.88671875" customWidth="1"/>
    <col min="3840" max="3840" width="8.77734375" bestFit="1" customWidth="1"/>
    <col min="3843" max="3843" width="13.44140625" customWidth="1"/>
    <col min="3844" max="3844" width="10.77734375" customWidth="1"/>
    <col min="4089" max="4089" width="23.88671875" bestFit="1" customWidth="1"/>
    <col min="4090" max="4090" width="18.109375" customWidth="1"/>
    <col min="4091" max="4091" width="15.109375" bestFit="1" customWidth="1"/>
    <col min="4092" max="4092" width="16.77734375" bestFit="1" customWidth="1"/>
    <col min="4093" max="4093" width="13" bestFit="1" customWidth="1"/>
    <col min="4094" max="4094" width="11.6640625" bestFit="1" customWidth="1"/>
    <col min="4095" max="4095" width="11.88671875" customWidth="1"/>
    <col min="4096" max="4096" width="8.77734375" bestFit="1" customWidth="1"/>
    <col min="4099" max="4099" width="13.44140625" customWidth="1"/>
    <col min="4100" max="4100" width="10.77734375" customWidth="1"/>
    <col min="4345" max="4345" width="23.88671875" bestFit="1" customWidth="1"/>
    <col min="4346" max="4346" width="18.109375" customWidth="1"/>
    <col min="4347" max="4347" width="15.109375" bestFit="1" customWidth="1"/>
    <col min="4348" max="4348" width="16.77734375" bestFit="1" customWidth="1"/>
    <col min="4349" max="4349" width="13" bestFit="1" customWidth="1"/>
    <col min="4350" max="4350" width="11.6640625" bestFit="1" customWidth="1"/>
    <col min="4351" max="4351" width="11.88671875" customWidth="1"/>
    <col min="4352" max="4352" width="8.77734375" bestFit="1" customWidth="1"/>
    <col min="4355" max="4355" width="13.44140625" customWidth="1"/>
    <col min="4356" max="4356" width="10.77734375" customWidth="1"/>
    <col min="4601" max="4601" width="23.88671875" bestFit="1" customWidth="1"/>
    <col min="4602" max="4602" width="18.109375" customWidth="1"/>
    <col min="4603" max="4603" width="15.109375" bestFit="1" customWidth="1"/>
    <col min="4604" max="4604" width="16.77734375" bestFit="1" customWidth="1"/>
    <col min="4605" max="4605" width="13" bestFit="1" customWidth="1"/>
    <col min="4606" max="4606" width="11.6640625" bestFit="1" customWidth="1"/>
    <col min="4607" max="4607" width="11.88671875" customWidth="1"/>
    <col min="4608" max="4608" width="8.77734375" bestFit="1" customWidth="1"/>
    <col min="4611" max="4611" width="13.44140625" customWidth="1"/>
    <col min="4612" max="4612" width="10.77734375" customWidth="1"/>
    <col min="4857" max="4857" width="23.88671875" bestFit="1" customWidth="1"/>
    <col min="4858" max="4858" width="18.109375" customWidth="1"/>
    <col min="4859" max="4859" width="15.109375" bestFit="1" customWidth="1"/>
    <col min="4860" max="4860" width="16.77734375" bestFit="1" customWidth="1"/>
    <col min="4861" max="4861" width="13" bestFit="1" customWidth="1"/>
    <col min="4862" max="4862" width="11.6640625" bestFit="1" customWidth="1"/>
    <col min="4863" max="4863" width="11.88671875" customWidth="1"/>
    <col min="4864" max="4864" width="8.77734375" bestFit="1" customWidth="1"/>
    <col min="4867" max="4867" width="13.44140625" customWidth="1"/>
    <col min="4868" max="4868" width="10.77734375" customWidth="1"/>
    <col min="5113" max="5113" width="23.88671875" bestFit="1" customWidth="1"/>
    <col min="5114" max="5114" width="18.109375" customWidth="1"/>
    <col min="5115" max="5115" width="15.109375" bestFit="1" customWidth="1"/>
    <col min="5116" max="5116" width="16.77734375" bestFit="1" customWidth="1"/>
    <col min="5117" max="5117" width="13" bestFit="1" customWidth="1"/>
    <col min="5118" max="5118" width="11.6640625" bestFit="1" customWidth="1"/>
    <col min="5119" max="5119" width="11.88671875" customWidth="1"/>
    <col min="5120" max="5120" width="8.77734375" bestFit="1" customWidth="1"/>
    <col min="5123" max="5123" width="13.44140625" customWidth="1"/>
    <col min="5124" max="5124" width="10.77734375" customWidth="1"/>
    <col min="5369" max="5369" width="23.88671875" bestFit="1" customWidth="1"/>
    <col min="5370" max="5370" width="18.109375" customWidth="1"/>
    <col min="5371" max="5371" width="15.109375" bestFit="1" customWidth="1"/>
    <col min="5372" max="5372" width="16.77734375" bestFit="1" customWidth="1"/>
    <col min="5373" max="5373" width="13" bestFit="1" customWidth="1"/>
    <col min="5374" max="5374" width="11.6640625" bestFit="1" customWidth="1"/>
    <col min="5375" max="5375" width="11.88671875" customWidth="1"/>
    <col min="5376" max="5376" width="8.77734375" bestFit="1" customWidth="1"/>
    <col min="5379" max="5379" width="13.44140625" customWidth="1"/>
    <col min="5380" max="5380" width="10.77734375" customWidth="1"/>
    <col min="5625" max="5625" width="23.88671875" bestFit="1" customWidth="1"/>
    <col min="5626" max="5626" width="18.109375" customWidth="1"/>
    <col min="5627" max="5627" width="15.109375" bestFit="1" customWidth="1"/>
    <col min="5628" max="5628" width="16.77734375" bestFit="1" customWidth="1"/>
    <col min="5629" max="5629" width="13" bestFit="1" customWidth="1"/>
    <col min="5630" max="5630" width="11.6640625" bestFit="1" customWidth="1"/>
    <col min="5631" max="5631" width="11.88671875" customWidth="1"/>
    <col min="5632" max="5632" width="8.77734375" bestFit="1" customWidth="1"/>
    <col min="5635" max="5635" width="13.44140625" customWidth="1"/>
    <col min="5636" max="5636" width="10.77734375" customWidth="1"/>
    <col min="5881" max="5881" width="23.88671875" bestFit="1" customWidth="1"/>
    <col min="5882" max="5882" width="18.109375" customWidth="1"/>
    <col min="5883" max="5883" width="15.109375" bestFit="1" customWidth="1"/>
    <col min="5884" max="5884" width="16.77734375" bestFit="1" customWidth="1"/>
    <col min="5885" max="5885" width="13" bestFit="1" customWidth="1"/>
    <col min="5886" max="5886" width="11.6640625" bestFit="1" customWidth="1"/>
    <col min="5887" max="5887" width="11.88671875" customWidth="1"/>
    <col min="5888" max="5888" width="8.77734375" bestFit="1" customWidth="1"/>
    <col min="5891" max="5891" width="13.44140625" customWidth="1"/>
    <col min="5892" max="5892" width="10.77734375" customWidth="1"/>
    <col min="6137" max="6137" width="23.88671875" bestFit="1" customWidth="1"/>
    <col min="6138" max="6138" width="18.109375" customWidth="1"/>
    <col min="6139" max="6139" width="15.109375" bestFit="1" customWidth="1"/>
    <col min="6140" max="6140" width="16.77734375" bestFit="1" customWidth="1"/>
    <col min="6141" max="6141" width="13" bestFit="1" customWidth="1"/>
    <col min="6142" max="6142" width="11.6640625" bestFit="1" customWidth="1"/>
    <col min="6143" max="6143" width="11.88671875" customWidth="1"/>
    <col min="6144" max="6144" width="8.77734375" bestFit="1" customWidth="1"/>
    <col min="6147" max="6147" width="13.44140625" customWidth="1"/>
    <col min="6148" max="6148" width="10.77734375" customWidth="1"/>
    <col min="6393" max="6393" width="23.88671875" bestFit="1" customWidth="1"/>
    <col min="6394" max="6394" width="18.109375" customWidth="1"/>
    <col min="6395" max="6395" width="15.109375" bestFit="1" customWidth="1"/>
    <col min="6396" max="6396" width="16.77734375" bestFit="1" customWidth="1"/>
    <col min="6397" max="6397" width="13" bestFit="1" customWidth="1"/>
    <col min="6398" max="6398" width="11.6640625" bestFit="1" customWidth="1"/>
    <col min="6399" max="6399" width="11.88671875" customWidth="1"/>
    <col min="6400" max="6400" width="8.77734375" bestFit="1" customWidth="1"/>
    <col min="6403" max="6403" width="13.44140625" customWidth="1"/>
    <col min="6404" max="6404" width="10.77734375" customWidth="1"/>
    <col min="6649" max="6649" width="23.88671875" bestFit="1" customWidth="1"/>
    <col min="6650" max="6650" width="18.109375" customWidth="1"/>
    <col min="6651" max="6651" width="15.109375" bestFit="1" customWidth="1"/>
    <col min="6652" max="6652" width="16.77734375" bestFit="1" customWidth="1"/>
    <col min="6653" max="6653" width="13" bestFit="1" customWidth="1"/>
    <col min="6654" max="6654" width="11.6640625" bestFit="1" customWidth="1"/>
    <col min="6655" max="6655" width="11.88671875" customWidth="1"/>
    <col min="6656" max="6656" width="8.77734375" bestFit="1" customWidth="1"/>
    <col min="6659" max="6659" width="13.44140625" customWidth="1"/>
    <col min="6660" max="6660" width="10.77734375" customWidth="1"/>
    <col min="6905" max="6905" width="23.88671875" bestFit="1" customWidth="1"/>
    <col min="6906" max="6906" width="18.109375" customWidth="1"/>
    <col min="6907" max="6907" width="15.109375" bestFit="1" customWidth="1"/>
    <col min="6908" max="6908" width="16.77734375" bestFit="1" customWidth="1"/>
    <col min="6909" max="6909" width="13" bestFit="1" customWidth="1"/>
    <col min="6910" max="6910" width="11.6640625" bestFit="1" customWidth="1"/>
    <col min="6911" max="6911" width="11.88671875" customWidth="1"/>
    <col min="6912" max="6912" width="8.77734375" bestFit="1" customWidth="1"/>
    <col min="6915" max="6915" width="13.44140625" customWidth="1"/>
    <col min="6916" max="6916" width="10.77734375" customWidth="1"/>
    <col min="7161" max="7161" width="23.88671875" bestFit="1" customWidth="1"/>
    <col min="7162" max="7162" width="18.109375" customWidth="1"/>
    <col min="7163" max="7163" width="15.109375" bestFit="1" customWidth="1"/>
    <col min="7164" max="7164" width="16.77734375" bestFit="1" customWidth="1"/>
    <col min="7165" max="7165" width="13" bestFit="1" customWidth="1"/>
    <col min="7166" max="7166" width="11.6640625" bestFit="1" customWidth="1"/>
    <col min="7167" max="7167" width="11.88671875" customWidth="1"/>
    <col min="7168" max="7168" width="8.77734375" bestFit="1" customWidth="1"/>
    <col min="7171" max="7171" width="13.44140625" customWidth="1"/>
    <col min="7172" max="7172" width="10.77734375" customWidth="1"/>
    <col min="7417" max="7417" width="23.88671875" bestFit="1" customWidth="1"/>
    <col min="7418" max="7418" width="18.109375" customWidth="1"/>
    <col min="7419" max="7419" width="15.109375" bestFit="1" customWidth="1"/>
    <col min="7420" max="7420" width="16.77734375" bestFit="1" customWidth="1"/>
    <col min="7421" max="7421" width="13" bestFit="1" customWidth="1"/>
    <col min="7422" max="7422" width="11.6640625" bestFit="1" customWidth="1"/>
    <col min="7423" max="7423" width="11.88671875" customWidth="1"/>
    <col min="7424" max="7424" width="8.77734375" bestFit="1" customWidth="1"/>
    <col min="7427" max="7427" width="13.44140625" customWidth="1"/>
    <col min="7428" max="7428" width="10.77734375" customWidth="1"/>
    <col min="7673" max="7673" width="23.88671875" bestFit="1" customWidth="1"/>
    <col min="7674" max="7674" width="18.109375" customWidth="1"/>
    <col min="7675" max="7675" width="15.109375" bestFit="1" customWidth="1"/>
    <col min="7676" max="7676" width="16.77734375" bestFit="1" customWidth="1"/>
    <col min="7677" max="7677" width="13" bestFit="1" customWidth="1"/>
    <col min="7678" max="7678" width="11.6640625" bestFit="1" customWidth="1"/>
    <col min="7679" max="7679" width="11.88671875" customWidth="1"/>
    <col min="7680" max="7680" width="8.77734375" bestFit="1" customWidth="1"/>
    <col min="7683" max="7683" width="13.44140625" customWidth="1"/>
    <col min="7684" max="7684" width="10.77734375" customWidth="1"/>
    <col min="7929" max="7929" width="23.88671875" bestFit="1" customWidth="1"/>
    <col min="7930" max="7930" width="18.109375" customWidth="1"/>
    <col min="7931" max="7931" width="15.109375" bestFit="1" customWidth="1"/>
    <col min="7932" max="7932" width="16.77734375" bestFit="1" customWidth="1"/>
    <col min="7933" max="7933" width="13" bestFit="1" customWidth="1"/>
    <col min="7934" max="7934" width="11.6640625" bestFit="1" customWidth="1"/>
    <col min="7935" max="7935" width="11.88671875" customWidth="1"/>
    <col min="7936" max="7936" width="8.77734375" bestFit="1" customWidth="1"/>
    <col min="7939" max="7939" width="13.44140625" customWidth="1"/>
    <col min="7940" max="7940" width="10.77734375" customWidth="1"/>
    <col min="8185" max="8185" width="23.88671875" bestFit="1" customWidth="1"/>
    <col min="8186" max="8186" width="18.109375" customWidth="1"/>
    <col min="8187" max="8187" width="15.109375" bestFit="1" customWidth="1"/>
    <col min="8188" max="8188" width="16.77734375" bestFit="1" customWidth="1"/>
    <col min="8189" max="8189" width="13" bestFit="1" customWidth="1"/>
    <col min="8190" max="8190" width="11.6640625" bestFit="1" customWidth="1"/>
    <col min="8191" max="8191" width="11.88671875" customWidth="1"/>
    <col min="8192" max="8192" width="8.77734375" bestFit="1" customWidth="1"/>
    <col min="8195" max="8195" width="13.44140625" customWidth="1"/>
    <col min="8196" max="8196" width="10.77734375" customWidth="1"/>
    <col min="8441" max="8441" width="23.88671875" bestFit="1" customWidth="1"/>
    <col min="8442" max="8442" width="18.109375" customWidth="1"/>
    <col min="8443" max="8443" width="15.109375" bestFit="1" customWidth="1"/>
    <col min="8444" max="8444" width="16.77734375" bestFit="1" customWidth="1"/>
    <col min="8445" max="8445" width="13" bestFit="1" customWidth="1"/>
    <col min="8446" max="8446" width="11.6640625" bestFit="1" customWidth="1"/>
    <col min="8447" max="8447" width="11.88671875" customWidth="1"/>
    <col min="8448" max="8448" width="8.77734375" bestFit="1" customWidth="1"/>
    <col min="8451" max="8451" width="13.44140625" customWidth="1"/>
    <col min="8452" max="8452" width="10.77734375" customWidth="1"/>
    <col min="8697" max="8697" width="23.88671875" bestFit="1" customWidth="1"/>
    <col min="8698" max="8698" width="18.109375" customWidth="1"/>
    <col min="8699" max="8699" width="15.109375" bestFit="1" customWidth="1"/>
    <col min="8700" max="8700" width="16.77734375" bestFit="1" customWidth="1"/>
    <col min="8701" max="8701" width="13" bestFit="1" customWidth="1"/>
    <col min="8702" max="8702" width="11.6640625" bestFit="1" customWidth="1"/>
    <col min="8703" max="8703" width="11.88671875" customWidth="1"/>
    <col min="8704" max="8704" width="8.77734375" bestFit="1" customWidth="1"/>
    <col min="8707" max="8707" width="13.44140625" customWidth="1"/>
    <col min="8708" max="8708" width="10.77734375" customWidth="1"/>
    <col min="8953" max="8953" width="23.88671875" bestFit="1" customWidth="1"/>
    <col min="8954" max="8954" width="18.109375" customWidth="1"/>
    <col min="8955" max="8955" width="15.109375" bestFit="1" customWidth="1"/>
    <col min="8956" max="8956" width="16.77734375" bestFit="1" customWidth="1"/>
    <col min="8957" max="8957" width="13" bestFit="1" customWidth="1"/>
    <col min="8958" max="8958" width="11.6640625" bestFit="1" customWidth="1"/>
    <col min="8959" max="8959" width="11.88671875" customWidth="1"/>
    <col min="8960" max="8960" width="8.77734375" bestFit="1" customWidth="1"/>
    <col min="8963" max="8963" width="13.44140625" customWidth="1"/>
    <col min="8964" max="8964" width="10.77734375" customWidth="1"/>
    <col min="9209" max="9209" width="23.88671875" bestFit="1" customWidth="1"/>
    <col min="9210" max="9210" width="18.109375" customWidth="1"/>
    <col min="9211" max="9211" width="15.109375" bestFit="1" customWidth="1"/>
    <col min="9212" max="9212" width="16.77734375" bestFit="1" customWidth="1"/>
    <col min="9213" max="9213" width="13" bestFit="1" customWidth="1"/>
    <col min="9214" max="9214" width="11.6640625" bestFit="1" customWidth="1"/>
    <col min="9215" max="9215" width="11.88671875" customWidth="1"/>
    <col min="9216" max="9216" width="8.77734375" bestFit="1" customWidth="1"/>
    <col min="9219" max="9219" width="13.44140625" customWidth="1"/>
    <col min="9220" max="9220" width="10.77734375" customWidth="1"/>
    <col min="9465" max="9465" width="23.88671875" bestFit="1" customWidth="1"/>
    <col min="9466" max="9466" width="18.109375" customWidth="1"/>
    <col min="9467" max="9467" width="15.109375" bestFit="1" customWidth="1"/>
    <col min="9468" max="9468" width="16.77734375" bestFit="1" customWidth="1"/>
    <col min="9469" max="9469" width="13" bestFit="1" customWidth="1"/>
    <col min="9470" max="9470" width="11.6640625" bestFit="1" customWidth="1"/>
    <col min="9471" max="9471" width="11.88671875" customWidth="1"/>
    <col min="9472" max="9472" width="8.77734375" bestFit="1" customWidth="1"/>
    <col min="9475" max="9475" width="13.44140625" customWidth="1"/>
    <col min="9476" max="9476" width="10.77734375" customWidth="1"/>
    <col min="9721" max="9721" width="23.88671875" bestFit="1" customWidth="1"/>
    <col min="9722" max="9722" width="18.109375" customWidth="1"/>
    <col min="9723" max="9723" width="15.109375" bestFit="1" customWidth="1"/>
    <col min="9724" max="9724" width="16.77734375" bestFit="1" customWidth="1"/>
    <col min="9725" max="9725" width="13" bestFit="1" customWidth="1"/>
    <col min="9726" max="9726" width="11.6640625" bestFit="1" customWidth="1"/>
    <col min="9727" max="9727" width="11.88671875" customWidth="1"/>
    <col min="9728" max="9728" width="8.77734375" bestFit="1" customWidth="1"/>
    <col min="9731" max="9731" width="13.44140625" customWidth="1"/>
    <col min="9732" max="9732" width="10.77734375" customWidth="1"/>
    <col min="9977" max="9977" width="23.88671875" bestFit="1" customWidth="1"/>
    <col min="9978" max="9978" width="18.109375" customWidth="1"/>
    <col min="9979" max="9979" width="15.109375" bestFit="1" customWidth="1"/>
    <col min="9980" max="9980" width="16.77734375" bestFit="1" customWidth="1"/>
    <col min="9981" max="9981" width="13" bestFit="1" customWidth="1"/>
    <col min="9982" max="9982" width="11.6640625" bestFit="1" customWidth="1"/>
    <col min="9983" max="9983" width="11.88671875" customWidth="1"/>
    <col min="9984" max="9984" width="8.77734375" bestFit="1" customWidth="1"/>
    <col min="9987" max="9987" width="13.44140625" customWidth="1"/>
    <col min="9988" max="9988" width="10.77734375" customWidth="1"/>
    <col min="10233" max="10233" width="23.88671875" bestFit="1" customWidth="1"/>
    <col min="10234" max="10234" width="18.109375" customWidth="1"/>
    <col min="10235" max="10235" width="15.109375" bestFit="1" customWidth="1"/>
    <col min="10236" max="10236" width="16.77734375" bestFit="1" customWidth="1"/>
    <col min="10237" max="10237" width="13" bestFit="1" customWidth="1"/>
    <col min="10238" max="10238" width="11.6640625" bestFit="1" customWidth="1"/>
    <col min="10239" max="10239" width="11.88671875" customWidth="1"/>
    <col min="10240" max="10240" width="8.77734375" bestFit="1" customWidth="1"/>
    <col min="10243" max="10243" width="13.44140625" customWidth="1"/>
    <col min="10244" max="10244" width="10.77734375" customWidth="1"/>
    <col min="10489" max="10489" width="23.88671875" bestFit="1" customWidth="1"/>
    <col min="10490" max="10490" width="18.109375" customWidth="1"/>
    <col min="10491" max="10491" width="15.109375" bestFit="1" customWidth="1"/>
    <col min="10492" max="10492" width="16.77734375" bestFit="1" customWidth="1"/>
    <col min="10493" max="10493" width="13" bestFit="1" customWidth="1"/>
    <col min="10494" max="10494" width="11.6640625" bestFit="1" customWidth="1"/>
    <col min="10495" max="10495" width="11.88671875" customWidth="1"/>
    <col min="10496" max="10496" width="8.77734375" bestFit="1" customWidth="1"/>
    <col min="10499" max="10499" width="13.44140625" customWidth="1"/>
    <col min="10500" max="10500" width="10.77734375" customWidth="1"/>
    <col min="10745" max="10745" width="23.88671875" bestFit="1" customWidth="1"/>
    <col min="10746" max="10746" width="18.109375" customWidth="1"/>
    <col min="10747" max="10747" width="15.109375" bestFit="1" customWidth="1"/>
    <col min="10748" max="10748" width="16.77734375" bestFit="1" customWidth="1"/>
    <col min="10749" max="10749" width="13" bestFit="1" customWidth="1"/>
    <col min="10750" max="10750" width="11.6640625" bestFit="1" customWidth="1"/>
    <col min="10751" max="10751" width="11.88671875" customWidth="1"/>
    <col min="10752" max="10752" width="8.77734375" bestFit="1" customWidth="1"/>
    <col min="10755" max="10755" width="13.44140625" customWidth="1"/>
    <col min="10756" max="10756" width="10.77734375" customWidth="1"/>
    <col min="11001" max="11001" width="23.88671875" bestFit="1" customWidth="1"/>
    <col min="11002" max="11002" width="18.109375" customWidth="1"/>
    <col min="11003" max="11003" width="15.109375" bestFit="1" customWidth="1"/>
    <col min="11004" max="11004" width="16.77734375" bestFit="1" customWidth="1"/>
    <col min="11005" max="11005" width="13" bestFit="1" customWidth="1"/>
    <col min="11006" max="11006" width="11.6640625" bestFit="1" customWidth="1"/>
    <col min="11007" max="11007" width="11.88671875" customWidth="1"/>
    <col min="11008" max="11008" width="8.77734375" bestFit="1" customWidth="1"/>
    <col min="11011" max="11011" width="13.44140625" customWidth="1"/>
    <col min="11012" max="11012" width="10.77734375" customWidth="1"/>
    <col min="11257" max="11257" width="23.88671875" bestFit="1" customWidth="1"/>
    <col min="11258" max="11258" width="18.109375" customWidth="1"/>
    <col min="11259" max="11259" width="15.109375" bestFit="1" customWidth="1"/>
    <col min="11260" max="11260" width="16.77734375" bestFit="1" customWidth="1"/>
    <col min="11261" max="11261" width="13" bestFit="1" customWidth="1"/>
    <col min="11262" max="11262" width="11.6640625" bestFit="1" customWidth="1"/>
    <col min="11263" max="11263" width="11.88671875" customWidth="1"/>
    <col min="11264" max="11264" width="8.77734375" bestFit="1" customWidth="1"/>
    <col min="11267" max="11267" width="13.44140625" customWidth="1"/>
    <col min="11268" max="11268" width="10.77734375" customWidth="1"/>
    <col min="11513" max="11513" width="23.88671875" bestFit="1" customWidth="1"/>
    <col min="11514" max="11514" width="18.109375" customWidth="1"/>
    <col min="11515" max="11515" width="15.109375" bestFit="1" customWidth="1"/>
    <col min="11516" max="11516" width="16.77734375" bestFit="1" customWidth="1"/>
    <col min="11517" max="11517" width="13" bestFit="1" customWidth="1"/>
    <col min="11518" max="11518" width="11.6640625" bestFit="1" customWidth="1"/>
    <col min="11519" max="11519" width="11.88671875" customWidth="1"/>
    <col min="11520" max="11520" width="8.77734375" bestFit="1" customWidth="1"/>
    <col min="11523" max="11523" width="13.44140625" customWidth="1"/>
    <col min="11524" max="11524" width="10.77734375" customWidth="1"/>
    <col min="11769" max="11769" width="23.88671875" bestFit="1" customWidth="1"/>
    <col min="11770" max="11770" width="18.109375" customWidth="1"/>
    <col min="11771" max="11771" width="15.109375" bestFit="1" customWidth="1"/>
    <col min="11772" max="11772" width="16.77734375" bestFit="1" customWidth="1"/>
    <col min="11773" max="11773" width="13" bestFit="1" customWidth="1"/>
    <col min="11774" max="11774" width="11.6640625" bestFit="1" customWidth="1"/>
    <col min="11775" max="11775" width="11.88671875" customWidth="1"/>
    <col min="11776" max="11776" width="8.77734375" bestFit="1" customWidth="1"/>
    <col min="11779" max="11779" width="13.44140625" customWidth="1"/>
    <col min="11780" max="11780" width="10.77734375" customWidth="1"/>
    <col min="12025" max="12025" width="23.88671875" bestFit="1" customWidth="1"/>
    <col min="12026" max="12026" width="18.109375" customWidth="1"/>
    <col min="12027" max="12027" width="15.109375" bestFit="1" customWidth="1"/>
    <col min="12028" max="12028" width="16.77734375" bestFit="1" customWidth="1"/>
    <col min="12029" max="12029" width="13" bestFit="1" customWidth="1"/>
    <col min="12030" max="12030" width="11.6640625" bestFit="1" customWidth="1"/>
    <col min="12031" max="12031" width="11.88671875" customWidth="1"/>
    <col min="12032" max="12032" width="8.77734375" bestFit="1" customWidth="1"/>
    <col min="12035" max="12035" width="13.44140625" customWidth="1"/>
    <col min="12036" max="12036" width="10.77734375" customWidth="1"/>
    <col min="12281" max="12281" width="23.88671875" bestFit="1" customWidth="1"/>
    <col min="12282" max="12282" width="18.109375" customWidth="1"/>
    <col min="12283" max="12283" width="15.109375" bestFit="1" customWidth="1"/>
    <col min="12284" max="12284" width="16.77734375" bestFit="1" customWidth="1"/>
    <col min="12285" max="12285" width="13" bestFit="1" customWidth="1"/>
    <col min="12286" max="12286" width="11.6640625" bestFit="1" customWidth="1"/>
    <col min="12287" max="12287" width="11.88671875" customWidth="1"/>
    <col min="12288" max="12288" width="8.77734375" bestFit="1" customWidth="1"/>
    <col min="12291" max="12291" width="13.44140625" customWidth="1"/>
    <col min="12292" max="12292" width="10.77734375" customWidth="1"/>
    <col min="12537" max="12537" width="23.88671875" bestFit="1" customWidth="1"/>
    <col min="12538" max="12538" width="18.109375" customWidth="1"/>
    <col min="12539" max="12539" width="15.109375" bestFit="1" customWidth="1"/>
    <col min="12540" max="12540" width="16.77734375" bestFit="1" customWidth="1"/>
    <col min="12541" max="12541" width="13" bestFit="1" customWidth="1"/>
    <col min="12542" max="12542" width="11.6640625" bestFit="1" customWidth="1"/>
    <col min="12543" max="12543" width="11.88671875" customWidth="1"/>
    <col min="12544" max="12544" width="8.77734375" bestFit="1" customWidth="1"/>
    <col min="12547" max="12547" width="13.44140625" customWidth="1"/>
    <col min="12548" max="12548" width="10.77734375" customWidth="1"/>
    <col min="12793" max="12793" width="23.88671875" bestFit="1" customWidth="1"/>
    <col min="12794" max="12794" width="18.109375" customWidth="1"/>
    <col min="12795" max="12795" width="15.109375" bestFit="1" customWidth="1"/>
    <col min="12796" max="12796" width="16.77734375" bestFit="1" customWidth="1"/>
    <col min="12797" max="12797" width="13" bestFit="1" customWidth="1"/>
    <col min="12798" max="12798" width="11.6640625" bestFit="1" customWidth="1"/>
    <col min="12799" max="12799" width="11.88671875" customWidth="1"/>
    <col min="12800" max="12800" width="8.77734375" bestFit="1" customWidth="1"/>
    <col min="12803" max="12803" width="13.44140625" customWidth="1"/>
    <col min="12804" max="12804" width="10.77734375" customWidth="1"/>
    <col min="13049" max="13049" width="23.88671875" bestFit="1" customWidth="1"/>
    <col min="13050" max="13050" width="18.109375" customWidth="1"/>
    <col min="13051" max="13051" width="15.109375" bestFit="1" customWidth="1"/>
    <col min="13052" max="13052" width="16.77734375" bestFit="1" customWidth="1"/>
    <col min="13053" max="13053" width="13" bestFit="1" customWidth="1"/>
    <col min="13054" max="13054" width="11.6640625" bestFit="1" customWidth="1"/>
    <col min="13055" max="13055" width="11.88671875" customWidth="1"/>
    <col min="13056" max="13056" width="8.77734375" bestFit="1" customWidth="1"/>
    <col min="13059" max="13059" width="13.44140625" customWidth="1"/>
    <col min="13060" max="13060" width="10.77734375" customWidth="1"/>
    <col min="13305" max="13305" width="23.88671875" bestFit="1" customWidth="1"/>
    <col min="13306" max="13306" width="18.109375" customWidth="1"/>
    <col min="13307" max="13307" width="15.109375" bestFit="1" customWidth="1"/>
    <col min="13308" max="13308" width="16.77734375" bestFit="1" customWidth="1"/>
    <col min="13309" max="13309" width="13" bestFit="1" customWidth="1"/>
    <col min="13310" max="13310" width="11.6640625" bestFit="1" customWidth="1"/>
    <col min="13311" max="13311" width="11.88671875" customWidth="1"/>
    <col min="13312" max="13312" width="8.77734375" bestFit="1" customWidth="1"/>
    <col min="13315" max="13315" width="13.44140625" customWidth="1"/>
    <col min="13316" max="13316" width="10.77734375" customWidth="1"/>
    <col min="13561" max="13561" width="23.88671875" bestFit="1" customWidth="1"/>
    <col min="13562" max="13562" width="18.109375" customWidth="1"/>
    <col min="13563" max="13563" width="15.109375" bestFit="1" customWidth="1"/>
    <col min="13564" max="13564" width="16.77734375" bestFit="1" customWidth="1"/>
    <col min="13565" max="13565" width="13" bestFit="1" customWidth="1"/>
    <col min="13566" max="13566" width="11.6640625" bestFit="1" customWidth="1"/>
    <col min="13567" max="13567" width="11.88671875" customWidth="1"/>
    <col min="13568" max="13568" width="8.77734375" bestFit="1" customWidth="1"/>
    <col min="13571" max="13571" width="13.44140625" customWidth="1"/>
    <col min="13572" max="13572" width="10.77734375" customWidth="1"/>
    <col min="13817" max="13817" width="23.88671875" bestFit="1" customWidth="1"/>
    <col min="13818" max="13818" width="18.109375" customWidth="1"/>
    <col min="13819" max="13819" width="15.109375" bestFit="1" customWidth="1"/>
    <col min="13820" max="13820" width="16.77734375" bestFit="1" customWidth="1"/>
    <col min="13821" max="13821" width="13" bestFit="1" customWidth="1"/>
    <col min="13822" max="13822" width="11.6640625" bestFit="1" customWidth="1"/>
    <col min="13823" max="13823" width="11.88671875" customWidth="1"/>
    <col min="13824" max="13824" width="8.77734375" bestFit="1" customWidth="1"/>
    <col min="13827" max="13827" width="13.44140625" customWidth="1"/>
    <col min="13828" max="13828" width="10.77734375" customWidth="1"/>
    <col min="14073" max="14073" width="23.88671875" bestFit="1" customWidth="1"/>
    <col min="14074" max="14074" width="18.109375" customWidth="1"/>
    <col min="14075" max="14075" width="15.109375" bestFit="1" customWidth="1"/>
    <col min="14076" max="14076" width="16.77734375" bestFit="1" customWidth="1"/>
    <col min="14077" max="14077" width="13" bestFit="1" customWidth="1"/>
    <col min="14078" max="14078" width="11.6640625" bestFit="1" customWidth="1"/>
    <col min="14079" max="14079" width="11.88671875" customWidth="1"/>
    <col min="14080" max="14080" width="8.77734375" bestFit="1" customWidth="1"/>
    <col min="14083" max="14083" width="13.44140625" customWidth="1"/>
    <col min="14084" max="14084" width="10.77734375" customWidth="1"/>
    <col min="14329" max="14329" width="23.88671875" bestFit="1" customWidth="1"/>
    <col min="14330" max="14330" width="18.109375" customWidth="1"/>
    <col min="14331" max="14331" width="15.109375" bestFit="1" customWidth="1"/>
    <col min="14332" max="14332" width="16.77734375" bestFit="1" customWidth="1"/>
    <col min="14333" max="14333" width="13" bestFit="1" customWidth="1"/>
    <col min="14334" max="14334" width="11.6640625" bestFit="1" customWidth="1"/>
    <col min="14335" max="14335" width="11.88671875" customWidth="1"/>
    <col min="14336" max="14336" width="8.77734375" bestFit="1" customWidth="1"/>
    <col min="14339" max="14339" width="13.44140625" customWidth="1"/>
    <col min="14340" max="14340" width="10.77734375" customWidth="1"/>
    <col min="14585" max="14585" width="23.88671875" bestFit="1" customWidth="1"/>
    <col min="14586" max="14586" width="18.109375" customWidth="1"/>
    <col min="14587" max="14587" width="15.109375" bestFit="1" customWidth="1"/>
    <col min="14588" max="14588" width="16.77734375" bestFit="1" customWidth="1"/>
    <col min="14589" max="14589" width="13" bestFit="1" customWidth="1"/>
    <col min="14590" max="14590" width="11.6640625" bestFit="1" customWidth="1"/>
    <col min="14591" max="14591" width="11.88671875" customWidth="1"/>
    <col min="14592" max="14592" width="8.77734375" bestFit="1" customWidth="1"/>
    <col min="14595" max="14595" width="13.44140625" customWidth="1"/>
    <col min="14596" max="14596" width="10.77734375" customWidth="1"/>
    <col min="14841" max="14841" width="23.88671875" bestFit="1" customWidth="1"/>
    <col min="14842" max="14842" width="18.109375" customWidth="1"/>
    <col min="14843" max="14843" width="15.109375" bestFit="1" customWidth="1"/>
    <col min="14844" max="14844" width="16.77734375" bestFit="1" customWidth="1"/>
    <col min="14845" max="14845" width="13" bestFit="1" customWidth="1"/>
    <col min="14846" max="14846" width="11.6640625" bestFit="1" customWidth="1"/>
    <col min="14847" max="14847" width="11.88671875" customWidth="1"/>
    <col min="14848" max="14848" width="8.77734375" bestFit="1" customWidth="1"/>
    <col min="14851" max="14851" width="13.44140625" customWidth="1"/>
    <col min="14852" max="14852" width="10.77734375" customWidth="1"/>
    <col min="15097" max="15097" width="23.88671875" bestFit="1" customWidth="1"/>
    <col min="15098" max="15098" width="18.109375" customWidth="1"/>
    <col min="15099" max="15099" width="15.109375" bestFit="1" customWidth="1"/>
    <col min="15100" max="15100" width="16.77734375" bestFit="1" customWidth="1"/>
    <col min="15101" max="15101" width="13" bestFit="1" customWidth="1"/>
    <col min="15102" max="15102" width="11.6640625" bestFit="1" customWidth="1"/>
    <col min="15103" max="15103" width="11.88671875" customWidth="1"/>
    <col min="15104" max="15104" width="8.77734375" bestFit="1" customWidth="1"/>
    <col min="15107" max="15107" width="13.44140625" customWidth="1"/>
    <col min="15108" max="15108" width="10.77734375" customWidth="1"/>
    <col min="15353" max="15353" width="23.88671875" bestFit="1" customWidth="1"/>
    <col min="15354" max="15354" width="18.109375" customWidth="1"/>
    <col min="15355" max="15355" width="15.109375" bestFit="1" customWidth="1"/>
    <col min="15356" max="15356" width="16.77734375" bestFit="1" customWidth="1"/>
    <col min="15357" max="15357" width="13" bestFit="1" customWidth="1"/>
    <col min="15358" max="15358" width="11.6640625" bestFit="1" customWidth="1"/>
    <col min="15359" max="15359" width="11.88671875" customWidth="1"/>
    <col min="15360" max="15360" width="8.77734375" bestFit="1" customWidth="1"/>
    <col min="15363" max="15363" width="13.44140625" customWidth="1"/>
    <col min="15364" max="15364" width="10.77734375" customWidth="1"/>
    <col min="15609" max="15609" width="23.88671875" bestFit="1" customWidth="1"/>
    <col min="15610" max="15610" width="18.109375" customWidth="1"/>
    <col min="15611" max="15611" width="15.109375" bestFit="1" customWidth="1"/>
    <col min="15612" max="15612" width="16.77734375" bestFit="1" customWidth="1"/>
    <col min="15613" max="15613" width="13" bestFit="1" customWidth="1"/>
    <col min="15614" max="15614" width="11.6640625" bestFit="1" customWidth="1"/>
    <col min="15615" max="15615" width="11.88671875" customWidth="1"/>
    <col min="15616" max="15616" width="8.77734375" bestFit="1" customWidth="1"/>
    <col min="15619" max="15619" width="13.44140625" customWidth="1"/>
    <col min="15620" max="15620" width="10.77734375" customWidth="1"/>
    <col min="15865" max="15865" width="23.88671875" bestFit="1" customWidth="1"/>
    <col min="15866" max="15866" width="18.109375" customWidth="1"/>
    <col min="15867" max="15867" width="15.109375" bestFit="1" customWidth="1"/>
    <col min="15868" max="15868" width="16.77734375" bestFit="1" customWidth="1"/>
    <col min="15869" max="15869" width="13" bestFit="1" customWidth="1"/>
    <col min="15870" max="15870" width="11.6640625" bestFit="1" customWidth="1"/>
    <col min="15871" max="15871" width="11.88671875" customWidth="1"/>
    <col min="15872" max="15872" width="8.77734375" bestFit="1" customWidth="1"/>
    <col min="15875" max="15875" width="13.44140625" customWidth="1"/>
    <col min="15876" max="15876" width="10.77734375" customWidth="1"/>
    <col min="16121" max="16121" width="23.88671875" bestFit="1" customWidth="1"/>
    <col min="16122" max="16122" width="18.109375" customWidth="1"/>
    <col min="16123" max="16123" width="15.109375" bestFit="1" customWidth="1"/>
    <col min="16124" max="16124" width="16.77734375" bestFit="1" customWidth="1"/>
    <col min="16125" max="16125" width="13" bestFit="1" customWidth="1"/>
    <col min="16126" max="16126" width="11.6640625" bestFit="1" customWidth="1"/>
    <col min="16127" max="16127" width="11.88671875" customWidth="1"/>
    <col min="16128" max="16128" width="8.77734375" bestFit="1" customWidth="1"/>
    <col min="16131" max="16131" width="13.44140625" customWidth="1"/>
    <col min="16132" max="16132" width="10.77734375" customWidth="1"/>
  </cols>
  <sheetData>
    <row r="1" spans="1:7" x14ac:dyDescent="0.25">
      <c r="A1" s="184" t="s">
        <v>51</v>
      </c>
      <c r="B1" s="185"/>
      <c r="C1" s="185"/>
      <c r="D1" s="185"/>
      <c r="E1" s="185"/>
      <c r="F1" s="185"/>
      <c r="G1" s="186"/>
    </row>
    <row r="2" spans="1:7" x14ac:dyDescent="0.25">
      <c r="A2" s="1"/>
      <c r="C2" s="2"/>
      <c r="D2" s="2"/>
      <c r="E2" s="3"/>
      <c r="F2" s="3"/>
      <c r="G2" s="4"/>
    </row>
    <row r="3" spans="1:7" x14ac:dyDescent="0.25">
      <c r="A3" s="1"/>
      <c r="B3" s="5" t="s">
        <v>0</v>
      </c>
      <c r="C3" s="6">
        <v>1199942.92</v>
      </c>
      <c r="D3" s="7" t="s">
        <v>1</v>
      </c>
      <c r="E3" s="3"/>
      <c r="F3" s="3"/>
      <c r="G3" s="8"/>
    </row>
    <row r="4" spans="1:7" x14ac:dyDescent="0.25">
      <c r="A4" s="1"/>
      <c r="B4" s="9" t="s">
        <v>2</v>
      </c>
      <c r="C4" s="10">
        <v>-68.64</v>
      </c>
      <c r="D4" s="11">
        <f>C6</f>
        <v>-899905.71</v>
      </c>
      <c r="E4" s="12" t="s">
        <v>3</v>
      </c>
      <c r="F4" s="3"/>
      <c r="G4" s="13"/>
    </row>
    <row r="5" spans="1:7" x14ac:dyDescent="0.25">
      <c r="A5" s="14"/>
      <c r="B5" s="5" t="s">
        <v>4</v>
      </c>
      <c r="C5" s="6">
        <f>C3+C4</f>
        <v>1199874.28</v>
      </c>
      <c r="D5" s="15">
        <v>0.45</v>
      </c>
      <c r="E5" s="12" t="s">
        <v>5</v>
      </c>
      <c r="F5" s="3"/>
      <c r="G5" s="8"/>
    </row>
    <row r="6" spans="1:7" x14ac:dyDescent="0.25">
      <c r="A6" s="14"/>
      <c r="B6" s="16" t="s">
        <v>6</v>
      </c>
      <c r="C6" s="17">
        <f>-1*(0.75*C5)</f>
        <v>-899905.71</v>
      </c>
      <c r="D6" s="18">
        <f>D4+D5</f>
        <v>-899905.26</v>
      </c>
      <c r="E6" s="19" t="s">
        <v>7</v>
      </c>
      <c r="F6" s="3"/>
      <c r="G6" s="8"/>
    </row>
    <row r="7" spans="1:7" x14ac:dyDescent="0.25">
      <c r="A7" s="1"/>
      <c r="B7" s="20" t="s">
        <v>8</v>
      </c>
      <c r="C7" s="21">
        <v>0.45</v>
      </c>
      <c r="D7" s="15">
        <v>0.08</v>
      </c>
      <c r="E7" s="12" t="s">
        <v>52</v>
      </c>
      <c r="F7" s="3"/>
      <c r="G7" s="13"/>
    </row>
    <row r="8" spans="1:7" x14ac:dyDescent="0.25">
      <c r="A8" s="1"/>
      <c r="B8" s="20" t="s">
        <v>9</v>
      </c>
      <c r="C8" s="123">
        <v>0</v>
      </c>
      <c r="D8" s="22">
        <f>D6+D7</f>
        <v>-899905.18</v>
      </c>
      <c r="E8" s="19" t="s">
        <v>10</v>
      </c>
      <c r="F8" s="3"/>
      <c r="G8" s="13"/>
    </row>
    <row r="9" spans="1:7" x14ac:dyDescent="0.25">
      <c r="A9" s="1"/>
      <c r="B9" s="124" t="s">
        <v>11</v>
      </c>
      <c r="C9" s="24">
        <f>SUM(C5:C8)</f>
        <v>299969.02000000008</v>
      </c>
      <c r="D9" s="11">
        <f>D8*-1</f>
        <v>899905.18</v>
      </c>
      <c r="E9" s="12" t="s">
        <v>10</v>
      </c>
      <c r="F9" s="3"/>
      <c r="G9" s="4"/>
    </row>
    <row r="10" spans="1:7" ht="26.25" x14ac:dyDescent="0.25">
      <c r="A10" s="1">
        <f>904457.25/2430023.33</f>
        <v>0.37220105619315186</v>
      </c>
      <c r="B10" s="25" t="s">
        <v>12</v>
      </c>
      <c r="C10" s="26">
        <f>A10*1</f>
        <v>0.37220105619315186</v>
      </c>
      <c r="D10" s="27">
        <f>C14</f>
        <v>74856.989510880492</v>
      </c>
      <c r="E10" s="28" t="s">
        <v>13</v>
      </c>
      <c r="F10" s="28"/>
      <c r="G10" s="4"/>
    </row>
    <row r="11" spans="1:7" ht="27" x14ac:dyDescent="0.3">
      <c r="A11" s="113"/>
      <c r="B11" s="114" t="s">
        <v>14</v>
      </c>
      <c r="C11" s="115">
        <v>0.621750158</v>
      </c>
      <c r="D11" s="29">
        <f>D9+D10</f>
        <v>974762.16951088049</v>
      </c>
      <c r="E11" s="30" t="s">
        <v>15</v>
      </c>
      <c r="F11" s="31"/>
      <c r="G11" s="32"/>
    </row>
    <row r="12" spans="1:7" x14ac:dyDescent="0.25">
      <c r="A12" s="1"/>
      <c r="B12" s="33"/>
      <c r="C12" s="3"/>
      <c r="D12" s="34" t="s">
        <v>16</v>
      </c>
      <c r="E12" s="35"/>
      <c r="F12" s="36"/>
      <c r="G12" s="4"/>
    </row>
    <row r="13" spans="1:7" x14ac:dyDescent="0.25">
      <c r="A13" s="118"/>
      <c r="B13" s="119" t="s">
        <v>17</v>
      </c>
      <c r="C13" s="120">
        <f>(C5+C6+C7)*C10+0.01</f>
        <v>111648.79606922471</v>
      </c>
      <c r="D13" s="11">
        <f>C5</f>
        <v>1199874.28</v>
      </c>
      <c r="E13" s="12" t="s">
        <v>4</v>
      </c>
      <c r="F13" s="4"/>
      <c r="G13" s="4"/>
    </row>
    <row r="14" spans="1:7" x14ac:dyDescent="0.25">
      <c r="A14" s="1"/>
      <c r="B14" s="23" t="s">
        <v>18</v>
      </c>
      <c r="C14" s="121">
        <f>(C9*C11)-C13</f>
        <v>74856.989510880492</v>
      </c>
      <c r="D14" s="15">
        <f>-C13</f>
        <v>-111648.79606922471</v>
      </c>
      <c r="E14" s="37" t="s">
        <v>19</v>
      </c>
      <c r="F14" s="4"/>
      <c r="G14" s="4"/>
    </row>
    <row r="15" spans="1:7" x14ac:dyDescent="0.25">
      <c r="A15" s="1"/>
      <c r="B15" s="33" t="s">
        <v>20</v>
      </c>
      <c r="C15" s="21"/>
      <c r="D15" s="18">
        <f>SUM(D12:D14)</f>
        <v>1088225.4839307754</v>
      </c>
      <c r="E15" s="38" t="s">
        <v>21</v>
      </c>
      <c r="F15" s="39"/>
      <c r="G15" s="4"/>
    </row>
    <row r="16" spans="1:7" x14ac:dyDescent="0.25">
      <c r="A16" s="1"/>
      <c r="B16" s="33"/>
      <c r="C16" s="21"/>
      <c r="D16" s="11">
        <f>D8</f>
        <v>-899905.18</v>
      </c>
      <c r="E16" s="12" t="s">
        <v>10</v>
      </c>
      <c r="F16" s="4"/>
      <c r="G16" s="4"/>
    </row>
    <row r="17" spans="1:7" x14ac:dyDescent="0.25">
      <c r="A17" s="1"/>
      <c r="B17" s="23" t="s">
        <v>22</v>
      </c>
      <c r="C17" s="40">
        <f>C9-SUM(C13:C16)</f>
        <v>113463.23441989487</v>
      </c>
      <c r="D17" s="11">
        <f>-D10</f>
        <v>-74856.989510880492</v>
      </c>
      <c r="E17" s="12" t="s">
        <v>23</v>
      </c>
      <c r="F17" s="4"/>
      <c r="G17" s="4"/>
    </row>
    <row r="18" spans="1:7" x14ac:dyDescent="0.25">
      <c r="A18" s="41"/>
      <c r="B18" s="38"/>
      <c r="C18" s="3"/>
      <c r="D18" s="15">
        <f>-D7</f>
        <v>-0.08</v>
      </c>
      <c r="E18" s="12" t="s">
        <v>56</v>
      </c>
      <c r="F18" s="4"/>
      <c r="G18" s="4"/>
    </row>
    <row r="19" spans="1:7" x14ac:dyDescent="0.25">
      <c r="A19" s="1"/>
      <c r="B19" s="43"/>
      <c r="C19" s="44"/>
      <c r="D19" s="42">
        <f>SUM(D15:D18)</f>
        <v>113463.23441989488</v>
      </c>
      <c r="E19" s="28" t="s">
        <v>24</v>
      </c>
      <c r="F19" s="4"/>
      <c r="G19" s="4"/>
    </row>
    <row r="20" spans="1:7" x14ac:dyDescent="0.25">
      <c r="A20" s="1"/>
      <c r="B20" s="12"/>
      <c r="C20" s="45"/>
      <c r="D20" s="15"/>
      <c r="E20" s="46"/>
      <c r="F20" s="47"/>
      <c r="G20" s="4"/>
    </row>
    <row r="21" spans="1:7" x14ac:dyDescent="0.25">
      <c r="A21" s="48"/>
      <c r="B21" s="49"/>
      <c r="C21" s="50"/>
      <c r="D21" s="51"/>
      <c r="E21" s="52"/>
      <c r="F21" s="53"/>
      <c r="G21" s="54"/>
    </row>
    <row r="22" spans="1:7" x14ac:dyDescent="0.25">
      <c r="D22" s="55"/>
      <c r="E22" s="56"/>
      <c r="F22" s="57"/>
    </row>
    <row r="23" spans="1:7" x14ac:dyDescent="0.25">
      <c r="A23" s="58" t="s">
        <v>54</v>
      </c>
      <c r="B23" s="59"/>
      <c r="C23" s="60"/>
      <c r="D23" s="61" t="s">
        <v>25</v>
      </c>
      <c r="E23" s="62" t="s">
        <v>26</v>
      </c>
      <c r="F23" s="63" t="s">
        <v>27</v>
      </c>
      <c r="G23" s="64"/>
    </row>
    <row r="24" spans="1:7" x14ac:dyDescent="0.25">
      <c r="A24" s="14"/>
      <c r="B24" s="65" t="s">
        <v>28</v>
      </c>
      <c r="C24" s="66" t="s">
        <v>29</v>
      </c>
      <c r="D24" s="67" t="s">
        <v>30</v>
      </c>
      <c r="E24" s="68" t="s">
        <v>31</v>
      </c>
      <c r="F24" s="69" t="s">
        <v>31</v>
      </c>
      <c r="G24" s="70" t="s">
        <v>32</v>
      </c>
    </row>
    <row r="25" spans="1:7" x14ac:dyDescent="0.25">
      <c r="A25" s="71" t="s">
        <v>33</v>
      </c>
      <c r="B25" s="72">
        <v>0</v>
      </c>
      <c r="C25" s="73">
        <v>0</v>
      </c>
      <c r="D25" s="74">
        <v>0</v>
      </c>
      <c r="E25" s="75">
        <v>0</v>
      </c>
      <c r="F25" s="75">
        <v>0</v>
      </c>
      <c r="G25" s="76">
        <f>B25-SUM(C25:F25)</f>
        <v>0</v>
      </c>
    </row>
    <row r="26" spans="1:7" x14ac:dyDescent="0.25">
      <c r="A26" s="77" t="s">
        <v>34</v>
      </c>
      <c r="B26" s="78">
        <v>-68.64</v>
      </c>
      <c r="C26" s="79"/>
      <c r="D26" s="80"/>
      <c r="E26" s="81"/>
      <c r="F26" s="81"/>
      <c r="G26" s="82"/>
    </row>
    <row r="27" spans="1:7" x14ac:dyDescent="0.25">
      <c r="A27" s="83" t="s">
        <v>35</v>
      </c>
      <c r="B27" s="78">
        <v>1199942.92</v>
      </c>
      <c r="C27" s="84"/>
      <c r="D27" s="85"/>
      <c r="E27" s="75"/>
      <c r="F27" s="75"/>
      <c r="G27" s="86"/>
    </row>
    <row r="28" spans="1:7" x14ac:dyDescent="0.25">
      <c r="A28" s="71" t="s">
        <v>36</v>
      </c>
      <c r="B28" s="87">
        <f>B26+B27</f>
        <v>1199874.28</v>
      </c>
      <c r="C28" s="73">
        <f>(B28+B29+B30)*C45+0.01</f>
        <v>111648.7960692247</v>
      </c>
      <c r="D28" s="88">
        <f>((B28+B29+B30)*D45)-C28-B29-B30-B31</f>
        <v>974762.16958850308</v>
      </c>
      <c r="E28" s="75">
        <v>8357.91</v>
      </c>
      <c r="F28" s="75">
        <f>559516.24-454410.92</f>
        <v>105105.32</v>
      </c>
      <c r="G28" s="75">
        <f>B28-SUM(C28:F28)-B31</f>
        <v>4.3422722537070496E-3</v>
      </c>
    </row>
    <row r="29" spans="1:7" x14ac:dyDescent="0.25">
      <c r="A29" s="116" t="s">
        <v>45</v>
      </c>
      <c r="B29" s="89">
        <v>-899905.71</v>
      </c>
      <c r="C29" s="90"/>
      <c r="D29" s="91"/>
      <c r="E29" s="4"/>
      <c r="F29" s="4"/>
      <c r="G29" s="92">
        <v>0</v>
      </c>
    </row>
    <row r="30" spans="1:7" x14ac:dyDescent="0.25">
      <c r="A30" s="116" t="s">
        <v>46</v>
      </c>
      <c r="B30" s="89">
        <v>0.45</v>
      </c>
      <c r="C30" s="90"/>
      <c r="D30" s="91"/>
      <c r="E30" s="4"/>
      <c r="F30" s="4"/>
      <c r="G30" s="92"/>
    </row>
    <row r="31" spans="1:7" x14ac:dyDescent="0.25">
      <c r="A31" s="93" t="s">
        <v>47</v>
      </c>
      <c r="B31" s="94">
        <v>0.08</v>
      </c>
      <c r="C31" s="84"/>
      <c r="D31" s="85"/>
      <c r="E31" s="75"/>
      <c r="F31" s="75"/>
      <c r="G31" s="86"/>
    </row>
    <row r="32" spans="1:7" x14ac:dyDescent="0.25">
      <c r="A32" s="95" t="s">
        <v>37</v>
      </c>
      <c r="B32" s="96">
        <f>B29+B30+B31</f>
        <v>-899905.18</v>
      </c>
      <c r="C32" s="97"/>
      <c r="D32" s="98">
        <v>899905.18</v>
      </c>
      <c r="E32" s="99">
        <v>0</v>
      </c>
      <c r="F32" s="99">
        <v>0</v>
      </c>
      <c r="G32" s="100">
        <f>B32+C32+D32+E32+F32</f>
        <v>0</v>
      </c>
    </row>
    <row r="33" spans="1:7" x14ac:dyDescent="0.25">
      <c r="A33" s="77" t="s">
        <v>38</v>
      </c>
      <c r="B33" s="78">
        <v>1022694.8</v>
      </c>
      <c r="C33" s="78">
        <f>$B33*C$45</f>
        <v>380648.08472324419</v>
      </c>
      <c r="D33" s="78">
        <f>($B33*D$45)-C33</f>
        <v>255212.56902717554</v>
      </c>
      <c r="E33" s="8">
        <v>28494.89</v>
      </c>
      <c r="F33" s="101">
        <v>358339.26</v>
      </c>
      <c r="G33" s="102">
        <f t="shared" ref="G33:G39" si="0">B33-SUM(C33:F33)</f>
        <v>-3.7504197098314762E-3</v>
      </c>
    </row>
    <row r="34" spans="1:7" x14ac:dyDescent="0.25">
      <c r="A34" s="77" t="s">
        <v>39</v>
      </c>
      <c r="B34" s="78">
        <v>791229</v>
      </c>
      <c r="C34" s="78">
        <f>B34*$C$45</f>
        <v>294496.26949065132</v>
      </c>
      <c r="D34" s="78">
        <f t="shared" ref="D34:D38" si="1">($B34*D$45)-C34</f>
        <v>197450.48647827585</v>
      </c>
      <c r="E34" s="8">
        <v>22045.67</v>
      </c>
      <c r="F34" s="101">
        <v>277236.57</v>
      </c>
      <c r="G34" s="103">
        <f t="shared" si="0"/>
        <v>4.031072836369276E-3</v>
      </c>
    </row>
    <row r="35" spans="1:7" x14ac:dyDescent="0.25">
      <c r="A35" s="77" t="s">
        <v>40</v>
      </c>
      <c r="B35" s="78">
        <v>37983.35</v>
      </c>
      <c r="C35" s="78">
        <f>B35*$C$45</f>
        <v>14137.442987754152</v>
      </c>
      <c r="D35" s="78">
        <f t="shared" si="1"/>
        <v>9478.710885944045</v>
      </c>
      <c r="E35" s="8">
        <v>1058.31</v>
      </c>
      <c r="F35" s="101">
        <v>13308.89</v>
      </c>
      <c r="G35" s="103">
        <f t="shared" si="0"/>
        <v>-3.873698202369269E-3</v>
      </c>
    </row>
    <row r="36" spans="1:7" x14ac:dyDescent="0.25">
      <c r="A36" s="77" t="s">
        <v>41</v>
      </c>
      <c r="B36" s="78">
        <v>80158</v>
      </c>
      <c r="C36" s="78">
        <f>B36*$C$45</f>
        <v>29834.892262330661</v>
      </c>
      <c r="D36" s="78">
        <f t="shared" si="1"/>
        <v>20003.356923375712</v>
      </c>
      <c r="E36" s="10">
        <v>2233.41</v>
      </c>
      <c r="F36" s="75">
        <v>28086.34</v>
      </c>
      <c r="G36" s="104">
        <f t="shared" si="0"/>
        <v>8.1429362762719393E-4</v>
      </c>
    </row>
    <row r="37" spans="1:7" x14ac:dyDescent="0.25">
      <c r="A37" s="95" t="s">
        <v>42</v>
      </c>
      <c r="B37" s="105">
        <f>SUM(B33:B36)</f>
        <v>1932065.1500000001</v>
      </c>
      <c r="C37" s="106">
        <f>SUM(C33:C36)</f>
        <v>719116.68946398026</v>
      </c>
      <c r="D37" s="106">
        <f>SUM(D33:D36)</f>
        <v>482145.1233147711</v>
      </c>
      <c r="E37" s="106">
        <f>SUM(E33:E36)</f>
        <v>53832.28</v>
      </c>
      <c r="F37" s="106">
        <f>SUM(F33:F36)</f>
        <v>676971.06</v>
      </c>
      <c r="G37" s="105">
        <f t="shared" si="0"/>
        <v>-2.7787513099610806E-3</v>
      </c>
    </row>
    <row r="38" spans="1:7" x14ac:dyDescent="0.25">
      <c r="A38" s="71" t="s">
        <v>43</v>
      </c>
      <c r="B38" s="72">
        <v>197989.16</v>
      </c>
      <c r="C38" s="72">
        <f>B38*$C$45</f>
        <v>73691.77446679493</v>
      </c>
      <c r="D38" s="78">
        <f t="shared" si="1"/>
        <v>49408.017096725729</v>
      </c>
      <c r="E38" s="75">
        <v>5516.49</v>
      </c>
      <c r="F38" s="75">
        <v>69372.88</v>
      </c>
      <c r="G38" s="76">
        <f t="shared" si="0"/>
        <v>-1.5635206655133516E-3</v>
      </c>
    </row>
    <row r="39" spans="1:7" x14ac:dyDescent="0.25">
      <c r="A39" s="71" t="s">
        <v>44</v>
      </c>
      <c r="B39" s="107">
        <f>B25+B28+B29+B30+B37+B38</f>
        <v>2430023.3300000005</v>
      </c>
      <c r="C39" s="107">
        <f>C25+C28+C32+C37+C38-0.01</f>
        <v>904457.24999999988</v>
      </c>
      <c r="D39" s="98">
        <f>D25+D28-D32+D37+D38+0.01</f>
        <v>606410.1399999999</v>
      </c>
      <c r="E39" s="108">
        <f>E25+E28+E32+E37+E38</f>
        <v>67706.680000000008</v>
      </c>
      <c r="F39" s="108">
        <f>F25+F28+F32+F37+F38</f>
        <v>851449.26000000013</v>
      </c>
      <c r="G39" s="105">
        <f t="shared" si="0"/>
        <v>0</v>
      </c>
    </row>
    <row r="40" spans="1:7" x14ac:dyDescent="0.25">
      <c r="E40" s="109"/>
      <c r="G40" s="110"/>
    </row>
    <row r="41" spans="1:7" x14ac:dyDescent="0.25">
      <c r="A41" s="5" t="s">
        <v>48</v>
      </c>
      <c r="C41" s="38">
        <f>903810.06+784.92</f>
        <v>904594.9800000001</v>
      </c>
      <c r="D41" s="38">
        <v>1511180</v>
      </c>
      <c r="E41" s="110"/>
      <c r="F41" s="38">
        <v>1922361.13</v>
      </c>
    </row>
    <row r="42" spans="1:7" x14ac:dyDescent="0.25">
      <c r="A42" s="122" t="s">
        <v>50</v>
      </c>
      <c r="C42" s="38">
        <v>-137.72999999999999</v>
      </c>
      <c r="D42" s="38">
        <v>-482.23</v>
      </c>
      <c r="E42" s="125" t="s">
        <v>57</v>
      </c>
      <c r="F42" s="38">
        <v>487232.32</v>
      </c>
    </row>
    <row r="43" spans="1:7" x14ac:dyDescent="0.25">
      <c r="A43" s="5" t="s">
        <v>55</v>
      </c>
      <c r="C43" s="38">
        <v>0</v>
      </c>
      <c r="D43" s="38">
        <v>169.62</v>
      </c>
      <c r="E43" s="111"/>
      <c r="F43" s="38">
        <v>169.62</v>
      </c>
    </row>
    <row r="44" spans="1:7" x14ac:dyDescent="0.25">
      <c r="A44" s="5" t="s">
        <v>49</v>
      </c>
      <c r="C44" s="38">
        <f>C41+C42+C43</f>
        <v>904457.25000000012</v>
      </c>
      <c r="D44" s="38">
        <f>D41+D42+D43</f>
        <v>1510867.3900000001</v>
      </c>
      <c r="E44" s="111" t="s">
        <v>58</v>
      </c>
      <c r="F44" s="38">
        <f>SUM(F41:F43)</f>
        <v>2409763.0699999998</v>
      </c>
    </row>
    <row r="45" spans="1:7" x14ac:dyDescent="0.25">
      <c r="C45" s="117">
        <f>C44/$B$39</f>
        <v>0.3722010561931518</v>
      </c>
      <c r="D45" s="117">
        <f>D44/$B$39</f>
        <v>0.62175015825876856</v>
      </c>
      <c r="E45" s="110"/>
      <c r="F45" s="117">
        <f>F44/$B$39</f>
        <v>0.99166252449107117</v>
      </c>
    </row>
    <row r="46" spans="1:7" x14ac:dyDescent="0.25">
      <c r="C46" s="57"/>
      <c r="D46" s="57"/>
      <c r="E46" s="110"/>
    </row>
    <row r="47" spans="1:7" x14ac:dyDescent="0.25">
      <c r="C47" s="57"/>
      <c r="D47" s="57"/>
      <c r="E47" s="110"/>
    </row>
    <row r="48" spans="1:7" x14ac:dyDescent="0.25">
      <c r="C48" s="57"/>
      <c r="D48" s="57"/>
      <c r="E48" s="110"/>
    </row>
    <row r="49" spans="3:5" x14ac:dyDescent="0.25">
      <c r="C49" s="57"/>
      <c r="D49" s="57"/>
      <c r="E49" s="110"/>
    </row>
    <row r="50" spans="3:5" x14ac:dyDescent="0.25">
      <c r="C50" s="55"/>
      <c r="D50" s="55"/>
      <c r="E50" s="55"/>
    </row>
    <row r="51" spans="3:5" x14ac:dyDescent="0.25">
      <c r="C51" s="56"/>
      <c r="D51" s="56"/>
      <c r="E51" s="56"/>
    </row>
  </sheetData>
  <mergeCells count="1">
    <mergeCell ref="A1:G1"/>
  </mergeCells>
  <pageMargins left="0" right="0" top="0" bottom="0" header="0" footer="0"/>
  <pageSetup scale="85" fitToWidth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Paris Worksheet Jan Paid 2023</vt:lpstr>
      <vt:lpstr>Paris Feb Paid 2023</vt:lpstr>
      <vt:lpstr>LC Worksheet 2023</vt:lpstr>
      <vt:lpstr>Aug Worksheet 2023</vt:lpstr>
      <vt:lpstr>Aug Worksheet 2019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Nanette Shumway</dc:creator>
  <cp:lastModifiedBy>Nanette Shumway</cp:lastModifiedBy>
  <cp:lastPrinted>2023-01-11T01:40:26Z</cp:lastPrinted>
  <dcterms:created xsi:type="dcterms:W3CDTF">2019-01-10T19:11:05Z</dcterms:created>
  <dcterms:modified xsi:type="dcterms:W3CDTF">2023-02-15T18:11:58Z</dcterms:modified>
</cp:coreProperties>
</file>